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/>
  <mc:AlternateContent xmlns:mc="http://schemas.openxmlformats.org/markup-compatibility/2006">
    <mc:Choice Requires="x15">
      <x15ac:absPath xmlns:x15ac="http://schemas.microsoft.com/office/spreadsheetml/2010/11/ac" url="C:\Users\Juvan\Desktop\"/>
    </mc:Choice>
  </mc:AlternateContent>
  <xr:revisionPtr revIDLastSave="0" documentId="8_{7FA6017A-9A21-4734-9B5B-52EC76A1A5D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ture Books" sheetId="1" r:id="rId1"/>
    <sheet name="Browse URL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B3" i="4"/>
  <c r="B2" i="4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<sst xmlns="http://schemas.openxmlformats.org/spreadsheetml/2006/main" count="6379" uniqueCount="2614">
  <si>
    <t>0-8519-9059-2</t>
  </si>
  <si>
    <t>978-1-7892-4589-9</t>
  </si>
  <si>
    <t>Nematode Behaviour</t>
  </si>
  <si>
    <t>Tourism, Culture and Regeneration</t>
  </si>
  <si>
    <t>978-1-7806-4865-1</t>
  </si>
  <si>
    <t>Principles of Tropical Horticulture</t>
  </si>
  <si>
    <t>978-0-8519-8823-8</t>
  </si>
  <si>
    <t>1-7892-4979-1</t>
  </si>
  <si>
    <t>Nematodes as Model Organisms</t>
  </si>
  <si>
    <t>1-7892-4139-1</t>
  </si>
  <si>
    <t>978-1-7806-4859-0</t>
  </si>
  <si>
    <t>978-1-7806-4221-5</t>
  </si>
  <si>
    <t>Slaughter of Farmed Animals, The</t>
  </si>
  <si>
    <t>Biology of Seeds, The</t>
  </si>
  <si>
    <t>978-1-8459-3404-0</t>
  </si>
  <si>
    <t>978-9-2510-7022-2</t>
  </si>
  <si>
    <t>Handbook for the Sheep Clinician, A</t>
  </si>
  <si>
    <t>Integrated Plant Nutrient Management in Sub-Saharan Africa</t>
  </si>
  <si>
    <t>1-8459-3098-3</t>
  </si>
  <si>
    <t>1-7806-4284-9</t>
  </si>
  <si>
    <t>1-7863-9508-8</t>
  </si>
  <si>
    <t>1-8459-3902-6</t>
  </si>
  <si>
    <t>Behaviour of the Domestic Cat, The</t>
  </si>
  <si>
    <t>1-8459-3068-1</t>
  </si>
  <si>
    <t>1-8459-3943-3</t>
  </si>
  <si>
    <t>978-1-8459-3688-4</t>
  </si>
  <si>
    <t>1-7806-4399-3</t>
  </si>
  <si>
    <t>978-1-7806-4668-8</t>
  </si>
  <si>
    <t>1-8459-3689-2</t>
  </si>
  <si>
    <t>Climate Change Impact and Adaptation in Agricultural Systems</t>
  </si>
  <si>
    <t>978-1-7863-9198-8</t>
  </si>
  <si>
    <t>1-8459-3845-3</t>
  </si>
  <si>
    <t>Farm-level Modelling</t>
  </si>
  <si>
    <t>Realizing Africa's Rice Promise</t>
  </si>
  <si>
    <t>Recreational and Environmental Markets for Forest Enterprises</t>
  </si>
  <si>
    <t>Biology of Terrestrial Molluscs ,The</t>
  </si>
  <si>
    <t>1-7806-4348-9</t>
  </si>
  <si>
    <t>Disease Selection</t>
  </si>
  <si>
    <t>1-8459-3628-0</t>
  </si>
  <si>
    <t>1-8459-3290-0</t>
  </si>
  <si>
    <t>1-7806-4715-8</t>
  </si>
  <si>
    <t>978-1-8459-3997-7</t>
  </si>
  <si>
    <t>Glycaemic Index, The</t>
  </si>
  <si>
    <t>Dietary Supplements for the Health and Quality of Cultured Fish</t>
  </si>
  <si>
    <t>Environmental Impacts of Pasture-based Farming</t>
  </si>
  <si>
    <t>0-8519-9079-7</t>
  </si>
  <si>
    <t>Global Development of Organic Agriculture</t>
  </si>
  <si>
    <t>978-1-7806-4273-4</t>
  </si>
  <si>
    <t>Tourism Development</t>
  </si>
  <si>
    <t>1-7892-4073-5</t>
  </si>
  <si>
    <t>978-1-8459-3402-6</t>
  </si>
  <si>
    <t>1-8459-3819-4</t>
  </si>
  <si>
    <t>978-1-7806-4244-4</t>
  </si>
  <si>
    <t>Ecology and Silviculture of Oaks, The</t>
  </si>
  <si>
    <t>1-7806-4026-9</t>
  </si>
  <si>
    <t>1-8459-3259-5</t>
  </si>
  <si>
    <t>Globalization and the Developing Countries</t>
  </si>
  <si>
    <t>Amino Acids in Animal Nutrition</t>
  </si>
  <si>
    <t>Livestock Handling &amp; Transport</t>
  </si>
  <si>
    <t>978-1-7892-4214-0</t>
  </si>
  <si>
    <t>Quantitative Trait Loci Analysis in Animals</t>
  </si>
  <si>
    <t>1-8459-3822-4</t>
  </si>
  <si>
    <t>978-1-8459-3667-9</t>
  </si>
  <si>
    <t>978-1-8459-3964-9</t>
  </si>
  <si>
    <t>Responsible Tourism</t>
  </si>
  <si>
    <t>Global Wine Tourism</t>
  </si>
  <si>
    <t>Areawide Pest Management</t>
  </si>
  <si>
    <t>Religious Tourism and Pilgrimage Festivals Management</t>
  </si>
  <si>
    <t>Visitor Management in Tourism Destinations</t>
  </si>
  <si>
    <t>Climate, Ticks and Disease</t>
  </si>
  <si>
    <t>Professional Handbook of Cider Tasting, The</t>
  </si>
  <si>
    <t>978-1-8459-3682-2</t>
  </si>
  <si>
    <t>Sustainable Management of Soil Organic Matter</t>
  </si>
  <si>
    <t>978-1-8459-3213-8</t>
  </si>
  <si>
    <t>Plant Stress Physiology</t>
  </si>
  <si>
    <t>Plant Evolution and the Origin of Crop Species</t>
  </si>
  <si>
    <t>978-1-7892-4118-1</t>
  </si>
  <si>
    <t>Fungicides in Practice</t>
  </si>
  <si>
    <t>Seeds: Biology, Development and Ecology</t>
  </si>
  <si>
    <t>1-7863-9428-6</t>
  </si>
  <si>
    <t>Tourism and Geopolitics</t>
  </si>
  <si>
    <t>Bacteria and Fungi from Fish and Other Aquatic Animals</t>
  </si>
  <si>
    <t>Plants and Planting on Landscape Sites</t>
  </si>
  <si>
    <t>978-1-7892-4610-0</t>
  </si>
  <si>
    <t>1-7806-4183-4</t>
  </si>
  <si>
    <t>978-1-7806-4800-2</t>
  </si>
  <si>
    <t>Plants for Soil Regeneration</t>
  </si>
  <si>
    <t>Nematodes as Biocontrol Agents</t>
  </si>
  <si>
    <t>Title</t>
  </si>
  <si>
    <t>Muscle Development of Livestock Animals</t>
  </si>
  <si>
    <t>1-8459-3997-2</t>
  </si>
  <si>
    <t>Analytical Techniques for Natural Product Research</t>
  </si>
  <si>
    <t>1-7863-9459-6</t>
  </si>
  <si>
    <t>1-8459-3000-2</t>
  </si>
  <si>
    <t>1-7806-4193-1</t>
  </si>
  <si>
    <t>978-1-7892-4247-8</t>
  </si>
  <si>
    <t>Parasitic Flatworms</t>
  </si>
  <si>
    <t>Lyme Disease</t>
  </si>
  <si>
    <t>Climate Change and Cotton Production in Modern Farming Systems</t>
  </si>
  <si>
    <t>Cut Flowers and Foliages</t>
  </si>
  <si>
    <t>Canine and Feline Epilepsy</t>
  </si>
  <si>
    <t>Litchi and Longan</t>
  </si>
  <si>
    <t>Transgenic Insects</t>
  </si>
  <si>
    <t>CAP Regimes and the European Countryside</t>
  </si>
  <si>
    <t>Chronic Non-communicable Diseases in Low- and Middle-income Countries</t>
  </si>
  <si>
    <t>Feline Reproduction</t>
  </si>
  <si>
    <t>Tropical Forage Legumes</t>
  </si>
  <si>
    <t>1-8459-3646-9</t>
  </si>
  <si>
    <t>978-1-8459-3380-7</t>
  </si>
  <si>
    <t>978-1-8459-3874-1</t>
  </si>
  <si>
    <t>Principles of Cattle Production</t>
  </si>
  <si>
    <t>978-1-7806-4136-2</t>
  </si>
  <si>
    <t>1-7806-4396-9</t>
  </si>
  <si>
    <t>Humans, Horses and Events Management</t>
  </si>
  <si>
    <t>1-8459-3745-7</t>
  </si>
  <si>
    <t>1-7863-9520-7</t>
  </si>
  <si>
    <t>978-1-7892-4748-0</t>
  </si>
  <si>
    <t>Plant Membrane and Vacuolar Transporters</t>
  </si>
  <si>
    <t>1-8459-3803-8</t>
  </si>
  <si>
    <t>1-8459-3894-1</t>
  </si>
  <si>
    <t>978-1-7806-4316-8</t>
  </si>
  <si>
    <t>1-7806-4430-2</t>
  </si>
  <si>
    <t>1-8459-3199-8</t>
  </si>
  <si>
    <t>House-Soiling Problems in Domestic Cats</t>
  </si>
  <si>
    <t>Organic Farming</t>
  </si>
  <si>
    <t>Regulation of Agricultural Biotechnology, The</t>
  </si>
  <si>
    <t>1-7806-4332-2</t>
  </si>
  <si>
    <t>Tourism Planning and Development in Eastern Europe</t>
  </si>
  <si>
    <t>Shifting Cultivation and Secondary Succession in the Tropics</t>
  </si>
  <si>
    <t>ECG Interpretation in Equine Practice</t>
  </si>
  <si>
    <t>Islamic Tourism</t>
  </si>
  <si>
    <t>Landscape Trees and Shrubs</t>
  </si>
  <si>
    <t>978-1-8459-3613-6</t>
  </si>
  <si>
    <t>1-7806-4746-8</t>
  </si>
  <si>
    <t>African Seed Enterprises</t>
  </si>
  <si>
    <t>978-1-7806-4854-5</t>
  </si>
  <si>
    <t>1-7806-4415-9</t>
  </si>
  <si>
    <t>Molecular Plant Breeding</t>
  </si>
  <si>
    <t>1-8459-3701-5</t>
  </si>
  <si>
    <t>Sustainable Poultry Production in Europe</t>
  </si>
  <si>
    <t>Ecosystem Approach to Fisheries, The</t>
  </si>
  <si>
    <t>1-8459-3791-0</t>
  </si>
  <si>
    <t>Family Business in Tourism and Hospitality, The</t>
  </si>
  <si>
    <t>978-0-8519-9674-5</t>
  </si>
  <si>
    <t>978-1-7892-4963-7</t>
  </si>
  <si>
    <t>Conservation Agriculture</t>
  </si>
  <si>
    <t>Quality Assurance and Certification in Ecotourism</t>
  </si>
  <si>
    <t>Tourism &amp; the Less Developed World</t>
  </si>
  <si>
    <t>1-7806-4214-8</t>
  </si>
  <si>
    <t>978-1-7863-9253-4</t>
  </si>
  <si>
    <t>Nutrition &amp; Feeding of Organic Pigs</t>
  </si>
  <si>
    <t>978-1-8459-3651-8</t>
  </si>
  <si>
    <t>978-1-7863-9384-5</t>
  </si>
  <si>
    <t>1-7892-4118-9</t>
  </si>
  <si>
    <t>1-8459-3110-6</t>
  </si>
  <si>
    <t>978-0-8519-9019-4</t>
  </si>
  <si>
    <t>Poultry Genetics, Breeding and Biotechnology</t>
  </si>
  <si>
    <t>Strawberries</t>
  </si>
  <si>
    <t>Seed Dispersal</t>
  </si>
  <si>
    <t>1-7892-4156-1</t>
  </si>
  <si>
    <t>1-7863-9207-0</t>
  </si>
  <si>
    <t>1-7806-4460-4</t>
  </si>
  <si>
    <t>Integrated Management of Insect Pests on Canola and Other Brassica Oilseed Crops</t>
  </si>
  <si>
    <t>Quantitative Genetics, Genomics and Plant Breeding</t>
  </si>
  <si>
    <t>Macrocyclic Lactones in Antiparasitic Therapy</t>
  </si>
  <si>
    <t>978-1-7806-4783-8</t>
  </si>
  <si>
    <t>1-7863-9322-0</t>
  </si>
  <si>
    <t>1-7806-4207-5</t>
  </si>
  <si>
    <t>978-1-8459-3399-9</t>
  </si>
  <si>
    <t>Frameworks for Tourism Research</t>
  </si>
  <si>
    <t>0-8519-9580-2</t>
  </si>
  <si>
    <t>978-1-7863-9476-7</t>
  </si>
  <si>
    <t>978-1-7863-9298-5</t>
  </si>
  <si>
    <t>1-7806-4041-2</t>
  </si>
  <si>
    <t>1-7863-9201-1</t>
  </si>
  <si>
    <t>0-8519-9054-1</t>
  </si>
  <si>
    <t>1-8459-3076-2</t>
  </si>
  <si>
    <t>978-1-8459-3030-1</t>
  </si>
  <si>
    <t>School Health, Nutrition and Education for All</t>
  </si>
  <si>
    <t>Environmental Change and Geomorphic Hazards in Forests</t>
  </si>
  <si>
    <t>978-1-7806-4278-9</t>
  </si>
  <si>
    <t>1-7863-9942-3</t>
  </si>
  <si>
    <t>978-1-7806-4162-1</t>
  </si>
  <si>
    <t>Invasive Alien Plants</t>
  </si>
  <si>
    <t>0-8519-9058-4</t>
  </si>
  <si>
    <t>978-1-8459-3605-1</t>
  </si>
  <si>
    <t>1-7892-4275-4</t>
  </si>
  <si>
    <t>978-1-8459-3187-2</t>
  </si>
  <si>
    <t>978-1-7806-4709-8</t>
  </si>
  <si>
    <t>Farm Business Management</t>
  </si>
  <si>
    <t>1-7806-4401-9</t>
  </si>
  <si>
    <t>Methods &amp; Approaches in Forest History</t>
  </si>
  <si>
    <t>Architecture and Biology of Soils, The</t>
  </si>
  <si>
    <t>978-1-7892-4866-1</t>
  </si>
  <si>
    <t>Insect Conservation Biology</t>
  </si>
  <si>
    <t>Sampling and Monitoring in Crop Protection</t>
  </si>
  <si>
    <t>978-1-8459-3066-0</t>
  </si>
  <si>
    <t>978-1-7806-4787-6</t>
  </si>
  <si>
    <t>1-8459-3050-9</t>
  </si>
  <si>
    <t>1-8459-3375-3</t>
  </si>
  <si>
    <t>978-1-8459-3308-1</t>
  </si>
  <si>
    <t>Molluscs as Crop Pests</t>
  </si>
  <si>
    <t>Destination Benchmarking</t>
  </si>
  <si>
    <t>Biorational Tree-Fruit Pest Management</t>
  </si>
  <si>
    <t>978-1-7892-4723-7</t>
  </si>
  <si>
    <t>1-8459-3496-2</t>
  </si>
  <si>
    <t>Browse All Databases</t>
  </si>
  <si>
    <t>978-1-8459-3550-4</t>
  </si>
  <si>
    <t>Agritourism</t>
  </si>
  <si>
    <t>Reorienting Indian Agriculture</t>
  </si>
  <si>
    <t>Biology of Wetas, King Crickets and Their Allies, The</t>
  </si>
  <si>
    <t>Pig Disease Identification and Diagnosis Guide</t>
  </si>
  <si>
    <t>1-7892-4127-8</t>
  </si>
  <si>
    <t>978-1-8459-3856-7</t>
  </si>
  <si>
    <t>Protective Effects of Tea on Human Health</t>
  </si>
  <si>
    <t>978-1-8459-3292-3</t>
  </si>
  <si>
    <t>1-7806-4040-4</t>
  </si>
  <si>
    <t>Tropical Fruits, Volume II</t>
  </si>
  <si>
    <t>978-1-8459-3819-2</t>
  </si>
  <si>
    <t>978-1-7892-4549-3</t>
  </si>
  <si>
    <t>Poultry Health</t>
  </si>
  <si>
    <t>978-1-7806-4417-2</t>
  </si>
  <si>
    <t>One Health</t>
  </si>
  <si>
    <t>978-1-8459-3117-9</t>
  </si>
  <si>
    <t>Global Theme Park Industry, The</t>
  </si>
  <si>
    <t>Living with the Trees of Life</t>
  </si>
  <si>
    <t>Avocado, The</t>
  </si>
  <si>
    <t>978-0-8519-9012-5</t>
  </si>
  <si>
    <t>978-1-8459-3294-7</t>
  </si>
  <si>
    <t>0-8519-9320-6</t>
  </si>
  <si>
    <t>Religious Pilgrimage Routes and Trails</t>
  </si>
  <si>
    <t>978-1-7806-4532-2</t>
  </si>
  <si>
    <t>Cultural Attractions and European Tourism</t>
  </si>
  <si>
    <t>978-1-8459-3259-6</t>
  </si>
  <si>
    <t>External Parasites of Small Ruminants</t>
  </si>
  <si>
    <t>Search Books@Ovid</t>
  </si>
  <si>
    <t>978-1-8459-3649-5</t>
  </si>
  <si>
    <t>Coffee Wilt Disease</t>
  </si>
  <si>
    <t>978-1-7806-4850-7</t>
  </si>
  <si>
    <t>978-1-7863-9508-5</t>
  </si>
  <si>
    <t>978-0-8519-9819-0</t>
  </si>
  <si>
    <t>2nd_Edition</t>
  </si>
  <si>
    <t>978-1-8459-3564-1</t>
  </si>
  <si>
    <t>1-7806-4255-5</t>
  </si>
  <si>
    <t>978-0-8519-9904-3</t>
  </si>
  <si>
    <t>978-1-7863-9481-1</t>
  </si>
  <si>
    <t>978-1-7892-4537-0</t>
  </si>
  <si>
    <t>978-1-8459-3528-3</t>
  </si>
  <si>
    <t>Nematology: Advances &amp; Perspectives Volume II</t>
  </si>
  <si>
    <t>978-1-8459-3472-9</t>
  </si>
  <si>
    <t>Rights to Plant Genetic Resources and Traditional Knowledge</t>
  </si>
  <si>
    <t>1-8459-3739-2</t>
  </si>
  <si>
    <t>Tourism Routes and Trails</t>
  </si>
  <si>
    <t>Serbia on the Road to EU Accession</t>
  </si>
  <si>
    <t>1-8459-3919-0</t>
  </si>
  <si>
    <t>978-1-8459-3285-5</t>
  </si>
  <si>
    <t>Equine Reproductive Physiology, Breeding and Stud Management</t>
  </si>
  <si>
    <t>978-1-7892-4109-9</t>
  </si>
  <si>
    <t>Forests and Landscapes</t>
  </si>
  <si>
    <t>978-1-8459-3829-1</t>
  </si>
  <si>
    <t>978-0-8519-9502-1</t>
  </si>
  <si>
    <t>1-7806-4631-3</t>
  </si>
  <si>
    <t>1-8459-3478-4</t>
  </si>
  <si>
    <t>Measurement of Roundwood, The</t>
  </si>
  <si>
    <t>1-7806-4542-2</t>
  </si>
  <si>
    <t>RNA Interference</t>
  </si>
  <si>
    <t>1-7863-9464-2</t>
  </si>
  <si>
    <t>Aquatic Insects</t>
  </si>
  <si>
    <t>Feeding in Domestic Vertebrates</t>
  </si>
  <si>
    <t>1-8459-3352-4</t>
  </si>
  <si>
    <t>Gac Fruit</t>
  </si>
  <si>
    <t>1-7863-9831-1</t>
  </si>
  <si>
    <t>978-0-8519-9405-5</t>
  </si>
  <si>
    <t>1-7892-4095-6</t>
  </si>
  <si>
    <t>978-1-7806-4608-4</t>
  </si>
  <si>
    <t>1-8459-3405-9</t>
  </si>
  <si>
    <t>Food Gardens for a Changing World</t>
  </si>
  <si>
    <t>978-1-7806-4682-4</t>
  </si>
  <si>
    <t>978-1-7806-4732-6</t>
  </si>
  <si>
    <t>Diagnosing Hemp and Cannabis Crop Diseases</t>
  </si>
  <si>
    <t>978-1-8459-3252-7</t>
  </si>
  <si>
    <t>1-7863-9152-X</t>
  </si>
  <si>
    <t>978-1-7892-4903-3</t>
  </si>
  <si>
    <t>1-7806-4800-6</t>
  </si>
  <si>
    <t>1-7892-4336-X</t>
  </si>
  <si>
    <t>978-1-8459-3641-9</t>
  </si>
  <si>
    <t>Paratuberculosis</t>
  </si>
  <si>
    <t>Tourism in Development</t>
  </si>
  <si>
    <t>1-8459-3813-5</t>
  </si>
  <si>
    <t>Tourism, Pilgrimage and Intercultural Dialogue</t>
  </si>
  <si>
    <t>Field Guide to the Forest Trees of Uganda</t>
  </si>
  <si>
    <t>978-1-8459-3391-3</t>
  </si>
  <si>
    <t>978-1-7806-4299-4</t>
  </si>
  <si>
    <t>0-8519-9575-6</t>
  </si>
  <si>
    <t>Apples</t>
  </si>
  <si>
    <t>1-7863-9487-1</t>
  </si>
  <si>
    <t>1-7892-4504-4</t>
  </si>
  <si>
    <t>1-8459-3223-4</t>
  </si>
  <si>
    <t>978-1-7892-4182-2</t>
  </si>
  <si>
    <t>1-8459-3651-5</t>
  </si>
  <si>
    <t>1-7806-4537-6</t>
  </si>
  <si>
    <t>Fair Trade and Organic Agriculture</t>
  </si>
  <si>
    <t>978-1-8459-3174-2</t>
  </si>
  <si>
    <t>978-1-7863-9503-0</t>
  </si>
  <si>
    <t>Taenia solium Cysticercosis</t>
  </si>
  <si>
    <t>Mountain Tourism</t>
  </si>
  <si>
    <t>Environmental Impact of Invertebrates for Biological Control of Arthropods</t>
  </si>
  <si>
    <t>978-1-7892-4939-2</t>
  </si>
  <si>
    <t>1-7863-9828-1</t>
  </si>
  <si>
    <t>Capacity Building for Sustainable Development</t>
  </si>
  <si>
    <t>Pineapple, The</t>
  </si>
  <si>
    <t>978-1-7892-4281-2</t>
  </si>
  <si>
    <t>Exotic Fruits and Nuts of the New World</t>
  </si>
  <si>
    <t>978-1-7863-9305-0</t>
  </si>
  <si>
    <t>Molecular Methods in Plant Disease Diagnostics</t>
  </si>
  <si>
    <t>Genetic Diversity of Cacao and Its Utilization, The</t>
  </si>
  <si>
    <t>Asking Animals</t>
  </si>
  <si>
    <t>Conservation and Management of Tropical Rainforests</t>
  </si>
  <si>
    <t>Economics of Livestock Disease Insurance, The</t>
  </si>
  <si>
    <t>978-1-8006-2086-5</t>
  </si>
  <si>
    <t>1-8459-3766-X</t>
  </si>
  <si>
    <t>Common Agricultural Policy and Romanian Agriculture, The</t>
  </si>
  <si>
    <t>11th_Edition</t>
  </si>
  <si>
    <t>1-8459-3038-X</t>
  </si>
  <si>
    <t>Nutrient Requirements and Feeding of Finfish for Aquaculture</t>
  </si>
  <si>
    <t>978-1-7806-4890-3</t>
  </si>
  <si>
    <t>1-8459-3684-1</t>
  </si>
  <si>
    <t>0-9541-4963-7</t>
  </si>
  <si>
    <t>1-7863-9981-4</t>
  </si>
  <si>
    <t>1-7806-4244-X</t>
  </si>
  <si>
    <t>978-1-7863-9231-2</t>
  </si>
  <si>
    <t>1-7806-4865-0</t>
  </si>
  <si>
    <t>1-7863-9268-2</t>
  </si>
  <si>
    <t>An Introduction to Economics</t>
  </si>
  <si>
    <t>Microbial Ecology of Aerial Plant Surfaces</t>
  </si>
  <si>
    <t>978-1-7863-9239-8</t>
  </si>
  <si>
    <t>978-1-7863-9591-7</t>
  </si>
  <si>
    <t>Molecular Biology and Biotechnology of Flowering, The</t>
  </si>
  <si>
    <t>978-1-8459-3635-8</t>
  </si>
  <si>
    <t>978-1-7863-9092-9</t>
  </si>
  <si>
    <t>Genetics of the Dog, The</t>
  </si>
  <si>
    <t>Herbal Radiomodulators</t>
  </si>
  <si>
    <t>978-1-7806-4200-0</t>
  </si>
  <si>
    <t>Communicable Disease Epidemiology and Control</t>
  </si>
  <si>
    <t>1-7806-4761-1</t>
  </si>
  <si>
    <t>978-1-8459-3000-4</t>
  </si>
  <si>
    <t>1-8459-3351-6</t>
  </si>
  <si>
    <t>1-8459-3853-4</t>
  </si>
  <si>
    <t>1-7892-4886-8</t>
  </si>
  <si>
    <t>1-8459-3905-0</t>
  </si>
  <si>
    <t>Tourism Consumption and Representation</t>
  </si>
  <si>
    <t>1-7892-4220-7</t>
  </si>
  <si>
    <t>Dairy Sheep Nutrition</t>
  </si>
  <si>
    <t>978-1-7863-9367-8</t>
  </si>
  <si>
    <t>Responsible Fisheries in the Marine Ecosystem</t>
  </si>
  <si>
    <t>978-1-8459-3810-9</t>
  </si>
  <si>
    <t>978-1-7806-4341-0</t>
  </si>
  <si>
    <t>978-1-8459-3811-6</t>
  </si>
  <si>
    <t>1-8459-3829-1</t>
  </si>
  <si>
    <t>1-7806-4043-9</t>
  </si>
  <si>
    <t>978-1-7892-4321-5</t>
  </si>
  <si>
    <t>Trends in Outdoor Recreation, Leisure and Tourism</t>
  </si>
  <si>
    <t>1-8459-3851-8</t>
  </si>
  <si>
    <t>1-7863-9455-3</t>
  </si>
  <si>
    <t>Tourism and Development in Mountain Regions</t>
  </si>
  <si>
    <t>Industrial Crops and Uses</t>
  </si>
  <si>
    <t>1-8459-3592-6</t>
  </si>
  <si>
    <t>1-7806-4473-6</t>
  </si>
  <si>
    <t>Tourism and Mobilities</t>
  </si>
  <si>
    <t>1-7806-4100-1</t>
  </si>
  <si>
    <t>978-1-7806-4729-6</t>
  </si>
  <si>
    <t>978-0-8519-9033-0</t>
  </si>
  <si>
    <t>Applied Crop Physiology</t>
  </si>
  <si>
    <t>1-7863-9098-1</t>
  </si>
  <si>
    <t>Biology and Breeding of Food Legumes</t>
  </si>
  <si>
    <t>1-7892-4779-9</t>
  </si>
  <si>
    <t>Nature-Based Tourism, Environment and Land Management</t>
  </si>
  <si>
    <t>Genetics of the Pig, The</t>
  </si>
  <si>
    <t>Management of Fungal Plant Pathogens</t>
  </si>
  <si>
    <t>978-1-8459-3396-8</t>
  </si>
  <si>
    <t>Nitrate and Man</t>
  </si>
  <si>
    <t>Climate Change Challenges and Adaptations at Farm-level</t>
  </si>
  <si>
    <t>978-0-8519-9908-1</t>
  </si>
  <si>
    <t>978-1-8459-3981-6</t>
  </si>
  <si>
    <t>1-8459-3208-0</t>
  </si>
  <si>
    <t>978-1-7806-4660-2</t>
  </si>
  <si>
    <t>Integrated Watershed Management</t>
  </si>
  <si>
    <t>1-8459-3353-2</t>
  </si>
  <si>
    <t>Health-Promoting Properties of Fruit and Vegetables</t>
  </si>
  <si>
    <t>Quantitative Trait Loci Analysis in Animals</t>
  </si>
  <si>
    <t>978-1-8459-3538-2</t>
  </si>
  <si>
    <t>978-1-7892-4879-1</t>
  </si>
  <si>
    <t>Onions and Other Vegetable Alliums</t>
  </si>
  <si>
    <t>978-1-7806-4197-3</t>
  </si>
  <si>
    <t>1-8459-3557-8</t>
  </si>
  <si>
    <t>Banana Wars</t>
  </si>
  <si>
    <t>978-1-8459-3554-2</t>
  </si>
  <si>
    <t>978-1-7806-4282-6</t>
  </si>
  <si>
    <t>Social Behaviour in Farm Animals</t>
  </si>
  <si>
    <t>Biopesticides</t>
  </si>
  <si>
    <t>Parasites and Pets</t>
  </si>
  <si>
    <t>978-1-8459-3803-1</t>
  </si>
  <si>
    <t>978-1-7806-4179-9</t>
  </si>
  <si>
    <t>Phytoplasmas Genomes, Plant Hosts and Vectors</t>
  </si>
  <si>
    <t>Linear Models for the Prediction of Animal Breeding Values</t>
  </si>
  <si>
    <t>978-1-7806-4455-4</t>
  </si>
  <si>
    <t>Economics of Soybean Disease Control, The</t>
  </si>
  <si>
    <t>978-1-7863-9094-3</t>
  </si>
  <si>
    <t>Improving Animal Welfare</t>
  </si>
  <si>
    <t>Long Distance Transport and Welfare of Farm Animals</t>
  </si>
  <si>
    <t>Forest Genomics and Biotechnology</t>
  </si>
  <si>
    <t>1-7892-4687-3</t>
  </si>
  <si>
    <t>1-7806-4373-X</t>
  </si>
  <si>
    <t>978-1-8459-3351-7</t>
  </si>
  <si>
    <t>1-7806-4830-8</t>
  </si>
  <si>
    <t>Aquaculture and Fisheries Biotechnology</t>
  </si>
  <si>
    <t>978-1-8459-3902-1</t>
  </si>
  <si>
    <t>978-1-8459-3758-4</t>
  </si>
  <si>
    <t>Fraser's the Behaviour and Welfare of the Horse</t>
  </si>
  <si>
    <t>978-1-8459-3343-2</t>
  </si>
  <si>
    <t>Handbook of Pest Management in Organic Farming</t>
  </si>
  <si>
    <t>Coping with Risk in Agriculture</t>
  </si>
  <si>
    <t>978-0-8519-9531-1</t>
  </si>
  <si>
    <t>1-8459-3394-X</t>
  </si>
  <si>
    <t>Techniques for Work with Plant and Soil Nematodes</t>
  </si>
  <si>
    <t>1-7806-4356-X</t>
  </si>
  <si>
    <t>978-1-8459-3345-6</t>
  </si>
  <si>
    <t>1-8459-3506-3</t>
  </si>
  <si>
    <t>Disease Resistance in Wheat</t>
  </si>
  <si>
    <t>1-8459-3564-0</t>
  </si>
  <si>
    <t>1-8459-3484-9</t>
  </si>
  <si>
    <t>978-1-7806-4240-6</t>
  </si>
  <si>
    <t>Dogs, Zoonoses and Public Health</t>
  </si>
  <si>
    <t>978-1-7892-4708-4</t>
  </si>
  <si>
    <t>Temperature Adaptation in a Changing Climate</t>
  </si>
  <si>
    <t>Book Title</t>
  </si>
  <si>
    <t>Differential Diagnosis in Small Animal Cytology</t>
  </si>
  <si>
    <t>Optical Manipulation of Arthropod Pests and Beneficials</t>
  </si>
  <si>
    <t>1-8459-3521-7</t>
  </si>
  <si>
    <t>Behavioural Biology of Dogs, The</t>
  </si>
  <si>
    <t>Animal Welfare in a Changing World</t>
  </si>
  <si>
    <t>978-1-8459-3555-9</t>
  </si>
  <si>
    <t>Medical Tourism</t>
  </si>
  <si>
    <t>978-1-7806-4868-2</t>
  </si>
  <si>
    <t>1-8459-3833-X</t>
  </si>
  <si>
    <t>Water Dynamics in Plant Production</t>
  </si>
  <si>
    <t>Organic Phosphorus in the Environment</t>
  </si>
  <si>
    <t>978-1-7806-4247-5</t>
  </si>
  <si>
    <t>978-1-7806-4705-0</t>
  </si>
  <si>
    <t>978-1-8459-3372-2</t>
  </si>
  <si>
    <t>1-7892-4112-X</t>
  </si>
  <si>
    <t>978-1-8459-3354-8</t>
  </si>
  <si>
    <t>1-8459-3808-9</t>
  </si>
  <si>
    <t>Quantitative Aspects of Ruminant Digestion and Metabolism</t>
  </si>
  <si>
    <t>1-7806-4011-0</t>
  </si>
  <si>
    <t>1-7863-9915-6</t>
  </si>
  <si>
    <t>Ethology of Domestic Animals, The</t>
  </si>
  <si>
    <t>978-1-7806-4420-2</t>
  </si>
  <si>
    <t>Millets Value Chain for Nutritional Security</t>
  </si>
  <si>
    <t>1-8459-3323-0</t>
  </si>
  <si>
    <t>1-7892-4939-2</t>
  </si>
  <si>
    <t>1-7863-9298-4</t>
  </si>
  <si>
    <t>978-1-7806-4616-9</t>
  </si>
  <si>
    <t>Pest Management and Phytosanitary Trade Barriers</t>
  </si>
  <si>
    <t>1-8459-3508-X</t>
  </si>
  <si>
    <t>978-1-7863-9459-0</t>
  </si>
  <si>
    <t>Helicobacter Pylori in the 21st Century</t>
  </si>
  <si>
    <t>1-8459-3265-X</t>
  </si>
  <si>
    <t>978-1-8459-3204-6</t>
  </si>
  <si>
    <t>Global Pesticide Resistance in Arthropods</t>
  </si>
  <si>
    <t>0-8519-9050-9</t>
  </si>
  <si>
    <t>Urban Insect Pests</t>
  </si>
  <si>
    <t>Stereotypic Animal Behaviour</t>
  </si>
  <si>
    <t>Harnessing Dividends from Drylands</t>
  </si>
  <si>
    <t>1-8459-3756-2</t>
  </si>
  <si>
    <t>Tree-Crop Interactions</t>
  </si>
  <si>
    <t>1-8459-3059-2</t>
  </si>
  <si>
    <t>1-8459-3414-8</t>
  </si>
  <si>
    <t>Mineral Nutrition of Livestock</t>
  </si>
  <si>
    <t>Vegetable Brassicas and Related Crucifers</t>
  </si>
  <si>
    <t>1-8459-3189-0</t>
  </si>
  <si>
    <t>Marine Ecotourism</t>
  </si>
  <si>
    <t>Chemical Pesticide Markets, Health Risks and Residues</t>
  </si>
  <si>
    <t>978-1-7892-4729-9</t>
  </si>
  <si>
    <t>978-1-8459-3476-7</t>
  </si>
  <si>
    <t>Silvopastoralism and sustainable land management</t>
  </si>
  <si>
    <t>Testing Methods for Seed-Transmitted Viruses</t>
  </si>
  <si>
    <t>Criteria and Indicators for Sustainable Forest Management</t>
  </si>
  <si>
    <t>1-7892-4247-9</t>
  </si>
  <si>
    <t>1-7806-4618-6</t>
  </si>
  <si>
    <t>1-8459-3112-2</t>
  </si>
  <si>
    <t>Diseases and Disorders of Finfish in Cage Culture</t>
  </si>
  <si>
    <t>Public, the Media and Agricultural Biotechnology, The</t>
  </si>
  <si>
    <t>Transcriptomics in Entomological Research</t>
  </si>
  <si>
    <t>978-1-8459-3658-7</t>
  </si>
  <si>
    <t>Prioritizing Agricultural Research for Development</t>
  </si>
  <si>
    <t>978-1-7863-9330-2</t>
  </si>
  <si>
    <t>978-1-7806-4042-6</t>
  </si>
  <si>
    <t>978-1-8459-3467-5</t>
  </si>
  <si>
    <t>1-8459-3401-6</t>
  </si>
  <si>
    <t>1-7806-4890-1</t>
  </si>
  <si>
    <t>Are We Pushing Animals to Their Biological Limits?</t>
  </si>
  <si>
    <t>Tourism and Welfare</t>
  </si>
  <si>
    <t>978-1-8006-2097-1</t>
  </si>
  <si>
    <t>1-8459-3063-0</t>
  </si>
  <si>
    <t>1-7863-9413-8</t>
  </si>
  <si>
    <t>Improving Diets and Nutrition</t>
  </si>
  <si>
    <t>1-7863-9172-4</t>
  </si>
  <si>
    <t>1-8459-3828-3</t>
  </si>
  <si>
    <t>Food and Financial Crises in Sub-Saharan Africa, The</t>
  </si>
  <si>
    <t>1-8459-3956-5</t>
  </si>
  <si>
    <t>978-1-8459-3827-7</t>
  </si>
  <si>
    <t>Oestrid Flies, The</t>
  </si>
  <si>
    <t>1-8459-3346-X</t>
  </si>
  <si>
    <t>978-1-7806-4252-9</t>
  </si>
  <si>
    <t>1-7863-9094-9</t>
  </si>
  <si>
    <t>1-8459-3680-9</t>
  </si>
  <si>
    <t>1-7892-4708-X</t>
  </si>
  <si>
    <t>1-8459-3117-3</t>
  </si>
  <si>
    <t>1-7806-4003-X</t>
  </si>
  <si>
    <t>978-1-8459-3905-2</t>
  </si>
  <si>
    <t>Small-scale Fisheries Management</t>
  </si>
  <si>
    <t>Nutrition and Physical Activity in Inflammatory Diseases</t>
  </si>
  <si>
    <t>978-1-7863-9175-9</t>
  </si>
  <si>
    <t>Tourism as a Resource-Based Industry</t>
  </si>
  <si>
    <t>Citrus Genetics, Breeding and Biotechnology</t>
  </si>
  <si>
    <t>978-1-8459-3574-0</t>
  </si>
  <si>
    <t>978-1-8459-3447-7</t>
  </si>
  <si>
    <t>978-1-8459-3714-0</t>
  </si>
  <si>
    <t>978-1-7863-9624-2</t>
  </si>
  <si>
    <t>978-1-8459-3470-5</t>
  </si>
  <si>
    <t>978-1-7806-4388-5</t>
  </si>
  <si>
    <t>Managing Quality of Life in Tourism and Hospitality</t>
  </si>
  <si>
    <t>Tourism Planning and Development in Western Europe</t>
  </si>
  <si>
    <t>978-1-7863-9124-7</t>
  </si>
  <si>
    <t>Biology of Breeding Poultry</t>
  </si>
  <si>
    <t>Tradeoffs or Synergies</t>
  </si>
  <si>
    <t>978-1-8459-3681-5</t>
  </si>
  <si>
    <t>978-1-7863-9428-6</t>
  </si>
  <si>
    <t>978-1-8459-3560-3</t>
  </si>
  <si>
    <t>1-7863-9131-7</t>
  </si>
  <si>
    <t>Parthenium Weed</t>
  </si>
  <si>
    <t>Temperate Agroforestry Systems</t>
  </si>
  <si>
    <t>978-1-8459-3845-1</t>
  </si>
  <si>
    <t>978-1-8459-3995-3</t>
  </si>
  <si>
    <t>1-8459-3001-0</t>
  </si>
  <si>
    <t>1-8459-3114-9</t>
  </si>
  <si>
    <t>1-7806-4868-5</t>
  </si>
  <si>
    <t>978-1-8459-3798-0</t>
  </si>
  <si>
    <t>1-7892-4690-3</t>
  </si>
  <si>
    <t>1-8459-3929-8</t>
  </si>
  <si>
    <t>978-1-8459-3821-5</t>
  </si>
  <si>
    <t>1-7806-4160-5</t>
  </si>
  <si>
    <t>978-1-8006-2079-7</t>
  </si>
  <si>
    <t>1-8459-3518-7</t>
  </si>
  <si>
    <t>1-8459-3074-6</t>
  </si>
  <si>
    <t>1-7806-4729-8</t>
  </si>
  <si>
    <t>1-8459-3553-5</t>
  </si>
  <si>
    <t>Fluorides in the Environment</t>
  </si>
  <si>
    <t>978-1-7892-4073-3</t>
  </si>
  <si>
    <t>978-1-7892-4350-5</t>
  </si>
  <si>
    <t>Mycotoxins:</t>
  </si>
  <si>
    <t>Garden Centre Management</t>
  </si>
  <si>
    <t>1-7892-4360-2</t>
  </si>
  <si>
    <t>1-8459-3467-9</t>
  </si>
  <si>
    <t>978-1-7806-4426-4</t>
  </si>
  <si>
    <t>GM Food Systems and Their Economic Impact</t>
  </si>
  <si>
    <t>1-8459-3054-1</t>
  </si>
  <si>
    <t>1-7863-9231-3</t>
  </si>
  <si>
    <t>978-1-8459-3894-9</t>
  </si>
  <si>
    <t>Agricultural Biotechnology</t>
  </si>
  <si>
    <t>1-7806-4378-0</t>
  </si>
  <si>
    <t>0-8519-9023-1</t>
  </si>
  <si>
    <t>Fish Viruses and Bacteria</t>
  </si>
  <si>
    <t>Voluntary Food Intake and Diet Selection in Farm Animals</t>
  </si>
  <si>
    <t>1-7806-4321-7</t>
  </si>
  <si>
    <t>Nutrition and Feeding of Organic Cattle</t>
  </si>
  <si>
    <t>Researching the Culture in Agri-Culture</t>
  </si>
  <si>
    <t>1-7892-4304-1</t>
  </si>
  <si>
    <t>Tropical Fruits, Volume 1</t>
  </si>
  <si>
    <t>1-7806-4172-9</t>
  </si>
  <si>
    <t>1-8459-3806-2</t>
  </si>
  <si>
    <t>1-7806-4837-5</t>
  </si>
  <si>
    <t>Tourism Theory</t>
  </si>
  <si>
    <t>Creating Experience Value in Tourism</t>
  </si>
  <si>
    <t>1-8459-3409-1</t>
  </si>
  <si>
    <t>1-7806-4784-0</t>
  </si>
  <si>
    <t>1-8459-3704-X</t>
  </si>
  <si>
    <t>1-8459-3910-7</t>
  </si>
  <si>
    <t>1-8459-3769-4</t>
  </si>
  <si>
    <t>Mango, The</t>
  </si>
  <si>
    <t>Climate Change and Non-infectious Fish Disorders</t>
  </si>
  <si>
    <t>978-1-7892-4082-5</t>
  </si>
  <si>
    <t>Common Agricultural Policy and Organic Farming, The</t>
  </si>
  <si>
    <t>Digital Technologies for Agricultural and Rural Development in the Global South</t>
  </si>
  <si>
    <t>1-7863-9189-9</t>
  </si>
  <si>
    <t>Biocontrol of Major Grapevine Diseases</t>
  </si>
  <si>
    <t>978-1-8459-3012-7</t>
  </si>
  <si>
    <t>Modeling Physiology of Crop Development, Growth and Yield</t>
  </si>
  <si>
    <t>Chemistry of Spices</t>
  </si>
  <si>
    <t>Case Studies in Ecotourism</t>
  </si>
  <si>
    <t>Dormancy in Plants</t>
  </si>
  <si>
    <t>Valuing Crop Biodiversity</t>
  </si>
  <si>
    <t>0-8519-9128-9</t>
  </si>
  <si>
    <t>1-8459-3287-0</t>
  </si>
  <si>
    <t>1-8459-3403-2</t>
  </si>
  <si>
    <t>978-1-7806-4011-2</t>
  </si>
  <si>
    <t>1-7806-4783-2</t>
  </si>
  <si>
    <t>978-1-8459-3225-1</t>
  </si>
  <si>
    <t>Agricultural Groundwater Revolution, The</t>
  </si>
  <si>
    <t>978-1-7806-4214-7</t>
  </si>
  <si>
    <t>Fetal Nutrition and Adult Disease</t>
  </si>
  <si>
    <t>978-1-7892-4607-0</t>
  </si>
  <si>
    <t>Farm Incomes, Wealth and Agricultural Policy</t>
  </si>
  <si>
    <t>1-7892-4681-4</t>
  </si>
  <si>
    <t>978-1-7892-4807-4</t>
  </si>
  <si>
    <t>978-1-7806-4808-8</t>
  </si>
  <si>
    <t>Modelling Nutrient Utilization in Farm Animals</t>
  </si>
  <si>
    <t>978-1-8459-3666-2</t>
  </si>
  <si>
    <t>3rd_Edition</t>
  </si>
  <si>
    <t>1-7806-4147-8</t>
  </si>
  <si>
    <t>978-1-8459-3461-3</t>
  </si>
  <si>
    <t>Giants of Tourism</t>
  </si>
  <si>
    <t>Climate Change Impacts and Sustainability</t>
  </si>
  <si>
    <t>978-1-8459-3282-4</t>
  </si>
  <si>
    <t>Bioenergy and Biological Invasions</t>
  </si>
  <si>
    <t>1-8006-2125-6</t>
  </si>
  <si>
    <t>1-7806-4145-1</t>
  </si>
  <si>
    <t>978-1-7892-4669-8</t>
  </si>
  <si>
    <t>1-8459-3995-6</t>
  </si>
  <si>
    <t>1-7806-4568-6</t>
  </si>
  <si>
    <t>Innovation in Forestry</t>
  </si>
  <si>
    <t>1-7892-4136-7</t>
  </si>
  <si>
    <t>Plant Biodiversity</t>
  </si>
  <si>
    <t>Seed Biology</t>
  </si>
  <si>
    <t>Crop Plant Anatomy</t>
  </si>
  <si>
    <t>978-1-8459-3405-7</t>
  </si>
  <si>
    <t>978-1-7892-4711-4</t>
  </si>
  <si>
    <t>0-8519-8823-7</t>
  </si>
  <si>
    <t>978-1-8459-3026-4</t>
  </si>
  <si>
    <t>1-8459-3648-5</t>
  </si>
  <si>
    <t>Nutrition of the Rabbit</t>
  </si>
  <si>
    <t>1-8459-3962-X</t>
  </si>
  <si>
    <t>1-8459-3528-4</t>
  </si>
  <si>
    <t>1-7863-9367-0</t>
  </si>
  <si>
    <t>1-7806-4088-9</t>
  </si>
  <si>
    <t>1-7806-4501-5</t>
  </si>
  <si>
    <t>1-8459-3817-8</t>
  </si>
  <si>
    <t>Visitor Experience Design</t>
  </si>
  <si>
    <t>978-1-8459-3071-4</t>
  </si>
  <si>
    <t>Biological Control</t>
  </si>
  <si>
    <t>1-8459-3682-5</t>
  </si>
  <si>
    <t>1-7892-4875-2</t>
  </si>
  <si>
    <t>1-8459-3980-8</t>
  </si>
  <si>
    <t>Prospects for Polar Tourism</t>
  </si>
  <si>
    <t>Abiotic Stresses in Crop Plants</t>
  </si>
  <si>
    <t>1-8459-3410-5</t>
  </si>
  <si>
    <t>Nitrogen Fixation in Tropical Cropping Systems</t>
  </si>
  <si>
    <t>Climate Change in Developing Countries</t>
  </si>
  <si>
    <t>1-8459-3907-7</t>
  </si>
  <si>
    <t>978-1-7892-4788-6</t>
  </si>
  <si>
    <t>1-7863-9621-1</t>
  </si>
  <si>
    <t>978-1-7892-4299-7</t>
  </si>
  <si>
    <t>Ecohydrology</t>
  </si>
  <si>
    <t>Vietnam Tourism</t>
  </si>
  <si>
    <t>978-1-7806-4350-2</t>
  </si>
  <si>
    <t>978-1-7806-4746-3</t>
  </si>
  <si>
    <t>1-7892-4748-9</t>
  </si>
  <si>
    <t>Digestive Physiology of Pigs</t>
  </si>
  <si>
    <t>Nutrition Experiments in Pigs and Poultry</t>
  </si>
  <si>
    <t>Changing Human Behaviour to Enhance Animal Welfare</t>
  </si>
  <si>
    <t>978-1-8459-3885-7</t>
  </si>
  <si>
    <t>Ecology and Management of Giant Hogweed</t>
  </si>
  <si>
    <t>Economic and Social Issues in Agricultural Biotechnology</t>
  </si>
  <si>
    <t>978-1-7806-4399-1</t>
  </si>
  <si>
    <t>1-8459-3794-5</t>
  </si>
  <si>
    <t>Genetics, Evolution and Biological Control</t>
  </si>
  <si>
    <t>1-8459-3797-X</t>
  </si>
  <si>
    <t>978-1-7806-4375-5</t>
  </si>
  <si>
    <t>Introduction to Pandemic Influenza</t>
  </si>
  <si>
    <t>Stable Isotopes in Human Nutrition</t>
  </si>
  <si>
    <t>Breeding for Disease Resistance In Farm Animals</t>
  </si>
  <si>
    <t>Reproductive Technologies in Farm Animals</t>
  </si>
  <si>
    <t>Sustainable Livestock Management for Poverty Alleviation and Food Security</t>
  </si>
  <si>
    <t>978-1-7863-9291-6</t>
  </si>
  <si>
    <t>1-7806-4273-3</t>
  </si>
  <si>
    <t>1-7806-4682-8</t>
  </si>
  <si>
    <t>978-1-8459-3191-9</t>
  </si>
  <si>
    <t>Potato and Sweetpotato in Africa</t>
  </si>
  <si>
    <t>978-1-8459-3397-5</t>
  </si>
  <si>
    <t>978-1-7863-9076-9</t>
  </si>
  <si>
    <t>978-1-8459-3130-8</t>
  </si>
  <si>
    <t>978-1-8459-3665-5</t>
  </si>
  <si>
    <t>Monitoring for a Sustainable Tourism Transition</t>
  </si>
  <si>
    <t>Antimicrobial Stewardship</t>
  </si>
  <si>
    <t>978-1-8459-3588-7</t>
  </si>
  <si>
    <t>Environmental Impact of Genetically Modified Crops</t>
  </si>
  <si>
    <t>1-8459-3292-7</t>
  </si>
  <si>
    <t>World Heritage Sites</t>
  </si>
  <si>
    <t>978-1-7806-4348-9</t>
  </si>
  <si>
    <t>0-8519-9077-0</t>
  </si>
  <si>
    <t>1-8459-3811-9</t>
  </si>
  <si>
    <t>978-1-8459-3745-4</t>
  </si>
  <si>
    <t>978-1-7806-4559-9</t>
  </si>
  <si>
    <t>Agricultural Seed Production</t>
  </si>
  <si>
    <t>Principles of Tropical Agronomy</t>
  </si>
  <si>
    <t>Biological and Environmental Control of Disease Vectors</t>
  </si>
  <si>
    <t>Ganoderma Diseases of Perennial Crops</t>
  </si>
  <si>
    <t>1-8459-3898-4</t>
  </si>
  <si>
    <t>Entomopathogenic Nematology</t>
  </si>
  <si>
    <t>Green Biosynthesis of Nanoparticles</t>
  </si>
  <si>
    <t>978-1-8459-3482-8</t>
  </si>
  <si>
    <t>0-8519-9831-3</t>
  </si>
  <si>
    <t>978-1-8459-3194-0</t>
  </si>
  <si>
    <t>Saving Seeds</t>
  </si>
  <si>
    <t>Biological Control Programmes in Canada, 1981-2000</t>
  </si>
  <si>
    <t>Cycad Classification</t>
  </si>
  <si>
    <t>978-1-7892-4760-2</t>
  </si>
  <si>
    <t>1-8459-3923-9</t>
  </si>
  <si>
    <t>1-8459-3987-5</t>
  </si>
  <si>
    <t>978-1-7863-9131-5</t>
  </si>
  <si>
    <t>History of Farming Systems Research, A</t>
  </si>
  <si>
    <t>1-7806-4231-8</t>
  </si>
  <si>
    <t>978-1-8459-3687-7</t>
  </si>
  <si>
    <t>1-8459-3152-1</t>
  </si>
  <si>
    <t>978-1-7806-4332-8</t>
  </si>
  <si>
    <t>1-8459-3382-6</t>
  </si>
  <si>
    <t>Forestry and Environmental Change</t>
  </si>
  <si>
    <t>978-1-7892-4720-6</t>
  </si>
  <si>
    <t>Grapes</t>
  </si>
  <si>
    <t>978-0-8519-9684-4</t>
  </si>
  <si>
    <t>1-8459-3598-5</t>
  </si>
  <si>
    <t>Tourism, Tradition and Culture</t>
  </si>
  <si>
    <t>Insects on Palms</t>
  </si>
  <si>
    <t>978-1-7806-4147-8</t>
  </si>
  <si>
    <t>Global Supply Chains, Standards &amp; the Poor</t>
  </si>
  <si>
    <t>Seed Production in Oil Palm</t>
  </si>
  <si>
    <t>1-8459-3652-3</t>
  </si>
  <si>
    <t>Rethinking Park Protection</t>
  </si>
  <si>
    <t>Agriculture, Hydrology and Water Quality</t>
  </si>
  <si>
    <t>Big Data's Big Potential in Developing Economies</t>
  </si>
  <si>
    <t>One Welfare</t>
  </si>
  <si>
    <t>978-1-7863-9442-2</t>
  </si>
  <si>
    <t>Private Sector Tourism in Conservation Areas in Africa</t>
  </si>
  <si>
    <t>978-1-7806-4176-8</t>
  </si>
  <si>
    <t>0-8519-9032-0</t>
  </si>
  <si>
    <t>Sustainable Poverty  Reduction in Less-Favoured Areas</t>
  </si>
  <si>
    <t>1-8459-3672-8</t>
  </si>
  <si>
    <t>Water Productivity in Agriculture</t>
  </si>
  <si>
    <t>978-1-8459-3288-6</t>
  </si>
  <si>
    <t>Insect Pests in Tropical Forestry</t>
  </si>
  <si>
    <t>1-7892-4278-9</t>
  </si>
  <si>
    <t>1-8459-3082-7</t>
  </si>
  <si>
    <t>978-1-7806-4430-1</t>
  </si>
  <si>
    <t>1-8459-3548-9</t>
  </si>
  <si>
    <t>Feline Behaviour and Welfare</t>
  </si>
  <si>
    <t>1-7806-4282-2</t>
  </si>
  <si>
    <t>Insect Pest Management</t>
  </si>
  <si>
    <t>Consumer Psychology of Tourism, Hospitality and Leisure</t>
  </si>
  <si>
    <t>1-7863-9228-3</t>
  </si>
  <si>
    <t>978-1-8006-2033-9</t>
  </si>
  <si>
    <t>1-8459-3843-7</t>
  </si>
  <si>
    <t>1-7892-4206-1</t>
  </si>
  <si>
    <t>1-7806-4559-7</t>
  </si>
  <si>
    <t>1-7806-4330-6</t>
  </si>
  <si>
    <t>1-8459-3613-2</t>
  </si>
  <si>
    <t>1-7892-4586-9</t>
  </si>
  <si>
    <t>1-7863-9392-1</t>
  </si>
  <si>
    <t>978-1-7863-9588-7</t>
  </si>
  <si>
    <t>978-1-8459-3607-5</t>
  </si>
  <si>
    <t>978-1-7863-9039-4</t>
  </si>
  <si>
    <t>978-1-7806-4166-9</t>
  </si>
  <si>
    <t>1-8459-3191-2</t>
  </si>
  <si>
    <t>Volunteering as Leisure / Leisure as Volunteering</t>
  </si>
  <si>
    <t>978-1-8459-3110-0</t>
  </si>
  <si>
    <t>978-1-7806-4700-5</t>
  </si>
  <si>
    <t>978-1-8459-3676-1</t>
  </si>
  <si>
    <t>1-7892-4571-0</t>
  </si>
  <si>
    <t>Courtship and Mating in Butterflies</t>
  </si>
  <si>
    <t>Understanding Western Tourists in Developing Countries</t>
  </si>
  <si>
    <t>1-7892-4549-4</t>
  </si>
  <si>
    <t>978-1-8459-3648-8</t>
  </si>
  <si>
    <t>1-7863-9404-9</t>
  </si>
  <si>
    <t>Top 100 Questions and Answers about Fleas and Pets</t>
  </si>
  <si>
    <t>Grazing Ecology and Forest History</t>
  </si>
  <si>
    <t>1-8459-3618-3</t>
  </si>
  <si>
    <t>1-8459-3285-4</t>
  </si>
  <si>
    <t>Invasion Biology</t>
  </si>
  <si>
    <t>Carrots and Related Apiaceae Crops</t>
  </si>
  <si>
    <t>Insect Movement</t>
  </si>
  <si>
    <t>1-8459-3195-5</t>
  </si>
  <si>
    <t>1-8459-3077-0</t>
  </si>
  <si>
    <t>Banana Systems in the Humid Highlands of Sub-Saharan Africa</t>
  </si>
  <si>
    <t>Behaviour and Welfare of the Horse, The</t>
  </si>
  <si>
    <t>1-8459-3354-0</t>
  </si>
  <si>
    <t>978-1-8459-3050-9</t>
  </si>
  <si>
    <t>978-1-8459-3921-2</t>
  </si>
  <si>
    <t>1-7806-4323-3</t>
  </si>
  <si>
    <t>Crop Science</t>
  </si>
  <si>
    <t>1-7806-4334-9</t>
  </si>
  <si>
    <t>978-1-7863-9413-2</t>
  </si>
  <si>
    <t>Fish Diseases and Disorders, Volume 1, 2nd edition</t>
  </si>
  <si>
    <t>Blueberries</t>
  </si>
  <si>
    <t>1-8459-3246-3</t>
  </si>
  <si>
    <t>Aphids as Crop Pests</t>
  </si>
  <si>
    <t>1-7863-9451-0</t>
  </si>
  <si>
    <t>Olympic Games, The</t>
  </si>
  <si>
    <t>978-1-8459-3762-1</t>
  </si>
  <si>
    <t>978-1-7806-4089-1</t>
  </si>
  <si>
    <t>River Tourism</t>
  </si>
  <si>
    <t>978-1-7892-4206-5</t>
  </si>
  <si>
    <t>978-1-7806-4837-8</t>
  </si>
  <si>
    <t>978-1-7863-9982-3</t>
  </si>
  <si>
    <t>Bunch and Oil Analysis of Oil Palm</t>
  </si>
  <si>
    <t>1-7806-4345-4</t>
  </si>
  <si>
    <t>1-8459-3641-8</t>
  </si>
  <si>
    <t>978-1-8459-3794-2</t>
  </si>
  <si>
    <t>Virus Diseases of Tropical and Subtropical Crops</t>
  </si>
  <si>
    <t>1-8459-3668-X</t>
  </si>
  <si>
    <t>International Volunteer Tourism</t>
  </si>
  <si>
    <t>1-7806-4686-0</t>
  </si>
  <si>
    <t>1-7863-9491-X</t>
  </si>
  <si>
    <t>1-8459-3927-1</t>
  </si>
  <si>
    <t>1-7806-4633-X</t>
  </si>
  <si>
    <t>1-7806-4653-4</t>
  </si>
  <si>
    <t>1-8459-3424-5</t>
  </si>
  <si>
    <t>1-7806-4318-7</t>
  </si>
  <si>
    <t>1-7863-9334-4</t>
  </si>
  <si>
    <t>1-7892-4565-6</t>
  </si>
  <si>
    <t>Worms and Human Disease</t>
  </si>
  <si>
    <t>1-8459-3390-7</t>
  </si>
  <si>
    <t>1-7806-4099-4</t>
  </si>
  <si>
    <t>1-8459-3635-3</t>
  </si>
  <si>
    <t>Tropical Root and Tuber Crops</t>
  </si>
  <si>
    <t>Nematodes as Environmental Indicators</t>
  </si>
  <si>
    <t>Non-chemical Weed Management</t>
  </si>
  <si>
    <t>Soybean, The</t>
  </si>
  <si>
    <t>Biotechnology of Fruit and Nut Crops</t>
  </si>
  <si>
    <t>978-1-8459-3792-8</t>
  </si>
  <si>
    <t>978-1-8459-3818-5</t>
  </si>
  <si>
    <t>978-1-8459-3392-0</t>
  </si>
  <si>
    <t>1-8459-3801-1</t>
  </si>
  <si>
    <t>978-1-8459-3907-6</t>
  </si>
  <si>
    <t>Biofuels</t>
  </si>
  <si>
    <t>Trees on the Farm</t>
  </si>
  <si>
    <t>0-8519-9084-3</t>
  </si>
  <si>
    <t>978-1-7806-4618-3</t>
  </si>
  <si>
    <t>1-7892-4288-6</t>
  </si>
  <si>
    <t>Poisonous Plants and Related Toxins</t>
  </si>
  <si>
    <t>1-7892-4672-5</t>
  </si>
  <si>
    <t>978-1-7863-9245-9</t>
  </si>
  <si>
    <t>978-0-9541-4963-5</t>
  </si>
  <si>
    <t>Manual for Tilapia Business Management, A</t>
  </si>
  <si>
    <t>0-8519-9012-6</t>
  </si>
  <si>
    <t>978-1-7863-9517-7</t>
  </si>
  <si>
    <t>978-1-7806-4775-3</t>
  </si>
  <si>
    <t>1-8459-3827-5</t>
  </si>
  <si>
    <t>Bridging Research Disciplines to Advance Animal Welfare Science</t>
  </si>
  <si>
    <t>978-0-8519-9013-2</t>
  </si>
  <si>
    <t>0-8519-9819-4</t>
  </si>
  <si>
    <t>978-1-8459-3557-3</t>
  </si>
  <si>
    <t>Land Use Change in Tropical Watersheds</t>
  </si>
  <si>
    <t>978-1-7863-9408-8</t>
  </si>
  <si>
    <t>1-8459-3951-4</t>
  </si>
  <si>
    <t>0-8519-9033-9</t>
  </si>
  <si>
    <t>978-1-7863-9322-7</t>
  </si>
  <si>
    <t>Lyme Borreliosis Biology, Epidemiology and Control</t>
  </si>
  <si>
    <t>Biodiversity Loss &amp; Conservation in Fragmented Forest Landscapes</t>
  </si>
  <si>
    <t>Environmental Policies for Agricultural Pollution Control</t>
  </si>
  <si>
    <t>978-1-7806-4708-1</t>
  </si>
  <si>
    <t>1-8459-3642-6</t>
  </si>
  <si>
    <t>1-7806-4833-2</t>
  </si>
  <si>
    <t>978-1-8459-3389-0</t>
  </si>
  <si>
    <t>Destination Recommendation Systems</t>
  </si>
  <si>
    <t>1-7892-4537-0</t>
  </si>
  <si>
    <t>Verticillium Wilts</t>
  </si>
  <si>
    <t>Tourism in the New Europe</t>
  </si>
  <si>
    <t>International Trade and Policies for Genetically Modified Products</t>
  </si>
  <si>
    <t>7th_Edition</t>
  </si>
  <si>
    <t>1-7806-4625-9</t>
  </si>
  <si>
    <t>Weeds &amp; Weed Management on Arable Land</t>
  </si>
  <si>
    <t>978-1-8459-3063-9</t>
  </si>
  <si>
    <t>1-7863-9982-2</t>
  </si>
  <si>
    <t>Plant Pathologist's Pocketbook</t>
  </si>
  <si>
    <t>978-1-8459-3609-9</t>
  </si>
  <si>
    <t>978-1-8459-3559-7</t>
  </si>
  <si>
    <t>978-1-7863-9340-1</t>
  </si>
  <si>
    <t>1-8459-3609-4</t>
  </si>
  <si>
    <t>Edition</t>
  </si>
  <si>
    <t>1-8459-3576-4</t>
  </si>
  <si>
    <t>1-7863-9458-8</t>
  </si>
  <si>
    <t>1-7892-4583-4</t>
  </si>
  <si>
    <t>British and Irish Butterflies</t>
  </si>
  <si>
    <t>1-7863-9014-0</t>
  </si>
  <si>
    <t>Sustainable Farmland Management</t>
  </si>
  <si>
    <t>Molecular Nutrition</t>
  </si>
  <si>
    <t>Principles of Plant Health and Quarantine</t>
  </si>
  <si>
    <t>1-7892-4820-5</t>
  </si>
  <si>
    <t>978-1-7863-9027-1</t>
  </si>
  <si>
    <t>1-8459-3130-0</t>
  </si>
  <si>
    <t>978-1-7806-4470-7</t>
  </si>
  <si>
    <t>1-8459-3487-3</t>
  </si>
  <si>
    <t>978-1-7806-4394-6</t>
  </si>
  <si>
    <t>978-1-7892-4288-1</t>
  </si>
  <si>
    <t>978-1-7806-4830-9</t>
  </si>
  <si>
    <t>African Smallholders</t>
  </si>
  <si>
    <t>978-1-8459-3375-3</t>
  </si>
  <si>
    <t>1-8459-3120-3</t>
  </si>
  <si>
    <t>1-7806-4656-9</t>
  </si>
  <si>
    <t>978-1-8459-3219-0</t>
  </si>
  <si>
    <t>Root Feeders</t>
  </si>
  <si>
    <t>Tourism Strategies and Local Responses in Southern Africa</t>
  </si>
  <si>
    <t>Tourism and Transition</t>
  </si>
  <si>
    <t>Central &amp; Eastern European Agriculture in an Expanding European Union</t>
  </si>
  <si>
    <t>978-1-8459-3250-3</t>
  </si>
  <si>
    <t>978-1-7806-4151-5</t>
  </si>
  <si>
    <t>978-1-7863-9189-6</t>
  </si>
  <si>
    <t>978-1-7806-4289-5</t>
  </si>
  <si>
    <t>978-1-7863-9377-7</t>
  </si>
  <si>
    <t>Browse Books@Ovid</t>
  </si>
  <si>
    <t>978-1-8459-3265-7</t>
  </si>
  <si>
    <t>Indigenous Knowledge</t>
  </si>
  <si>
    <t>1-7806-4812-X</t>
  </si>
  <si>
    <t>1-7863-9175-9</t>
  </si>
  <si>
    <t>978-1-7806-4006-8</t>
  </si>
  <si>
    <t>978-1-8459-3492-7</t>
  </si>
  <si>
    <t>Tourism in Destination Communities</t>
  </si>
  <si>
    <t>Economics of Integrated Pest Management of Insects, The</t>
  </si>
  <si>
    <t>1-7863-9245-3</t>
  </si>
  <si>
    <t>978-1-7863-9491-0</t>
  </si>
  <si>
    <t>978-1-7892-4886-9</t>
  </si>
  <si>
    <t>1-8459-3283-8</t>
  </si>
  <si>
    <t>Pesticide Risk Assessment</t>
  </si>
  <si>
    <t>978-1-8459-3951-9</t>
  </si>
  <si>
    <t>978-1-7892-4341-3</t>
  </si>
  <si>
    <t>978-1-8459-3815-4</t>
  </si>
  <si>
    <t>978-1-8459-3221-3</t>
  </si>
  <si>
    <t>1-7892-4082-4</t>
  </si>
  <si>
    <t>Greenhouse Technology and Management</t>
  </si>
  <si>
    <t>Plant-derived Pharmaceuticals</t>
  </si>
  <si>
    <t>978-1-7863-9319-7</t>
  </si>
  <si>
    <t>Forests and Society</t>
  </si>
  <si>
    <t>Salmonella in Domestic Animals</t>
  </si>
  <si>
    <t>Ecology of Freshwater Nematodes</t>
  </si>
  <si>
    <t>Journeys of Discovery in Volunteer Tourism</t>
  </si>
  <si>
    <t>978-1-7806-4542-1</t>
  </si>
  <si>
    <t>River Basin Trajectories</t>
  </si>
  <si>
    <t>1-8459-3676-0</t>
  </si>
  <si>
    <t>1-7892-4607-5</t>
  </si>
  <si>
    <t>Food Industry 4.0</t>
  </si>
  <si>
    <t>978-1-8459-3116-2</t>
  </si>
  <si>
    <t>Biology of Hevea Rubber</t>
  </si>
  <si>
    <t>978-1-7806-4535-3</t>
  </si>
  <si>
    <t>978-1-7892-4586-8</t>
  </si>
  <si>
    <t>978-1-7892-4483-0</t>
  </si>
  <si>
    <t>1-8459-3492-X</t>
  </si>
  <si>
    <t>978-1-7863-9221-3</t>
  </si>
  <si>
    <t>Mononegaviruses of Veterinary Importance</t>
  </si>
  <si>
    <t>1-8459-3032-0</t>
  </si>
  <si>
    <t>Environment and Livelihoods in Tropical Coastal Zones</t>
  </si>
  <si>
    <t>Proceedings of the 11th International Veterinary Behaviour Meeting</t>
  </si>
  <si>
    <t>1-8459-3826-7</t>
  </si>
  <si>
    <t>1-8459-3874-7</t>
  </si>
  <si>
    <t>978-0-8519-9058-3</t>
  </si>
  <si>
    <t>1-8459-3812-7</t>
  </si>
  <si>
    <t>978-1-8459-3701-0</t>
  </si>
  <si>
    <t>1-8459-3472-5</t>
  </si>
  <si>
    <t>Bond Scheme for Common Agricultural Policy Reform, A</t>
  </si>
  <si>
    <t>978-1-7806-4862-0</t>
  </si>
  <si>
    <t>978-1-8459-3076-9</t>
  </si>
  <si>
    <t>1-8459-3056-8</t>
  </si>
  <si>
    <t>978-1-8459-3062-2</t>
  </si>
  <si>
    <t>978-1-7806-4259-8</t>
  </si>
  <si>
    <t>Garden Tourism</t>
  </si>
  <si>
    <t>Development with Identity</t>
  </si>
  <si>
    <t>Small Animal Soft Tissue Surgery</t>
  </si>
  <si>
    <t>1-8459-3981-6</t>
  </si>
  <si>
    <t>978-1-7863-9185-8</t>
  </si>
  <si>
    <t>0-8519-9904-2</t>
  </si>
  <si>
    <t>Butterflies of Cyprus</t>
  </si>
  <si>
    <t>978-1-7863-9121-6</t>
  </si>
  <si>
    <t>Tourism and Visual Culture</t>
  </si>
  <si>
    <t>978-1-7806-4216-1</t>
  </si>
  <si>
    <t>1-7806-4313-6</t>
  </si>
  <si>
    <t>1-8459-3761-9</t>
  </si>
  <si>
    <t>978-1-7863-9511-5</t>
  </si>
  <si>
    <t>Heat Treatments for Postharvest Pest Control</t>
  </si>
  <si>
    <t>1-7892-4903-1</t>
  </si>
  <si>
    <t>Disapperaring Destinations</t>
  </si>
  <si>
    <t>Tylenchida</t>
  </si>
  <si>
    <t>Bananas and Plantains</t>
  </si>
  <si>
    <t>1-8459-3616-7</t>
  </si>
  <si>
    <t>1-7806-4212-1</t>
  </si>
  <si>
    <t>1-8459-3611-6</t>
  </si>
  <si>
    <t>Beneficial Microorganisms in Agriculture, Food and the Environment</t>
  </si>
  <si>
    <t>978-1-7892-4127-3</t>
  </si>
  <si>
    <t>Plants as a Source of Natural Antioxidants</t>
  </si>
  <si>
    <t>Fig, The</t>
  </si>
  <si>
    <t>1-8459-3470-9</t>
  </si>
  <si>
    <t>978-1-8459-3983-0</t>
  </si>
  <si>
    <t>Tourism Marketing in Western Europe</t>
  </si>
  <si>
    <t>Epidemiology for Field Veterinarians</t>
  </si>
  <si>
    <t>Mental Health and Well-being in Animals</t>
  </si>
  <si>
    <t>Dengue and Dengue Hemorrhagic Fever</t>
  </si>
  <si>
    <t>Molecular Approaches to Soil, Rhizosphere &amp; Plant Microorganism Analysis</t>
  </si>
  <si>
    <t>Bt Resistance</t>
  </si>
  <si>
    <t>978-1-7806-4280-2</t>
  </si>
  <si>
    <t>Tuberculosis, Leprosy and Mycobacterial Diseases of Man and Animals</t>
  </si>
  <si>
    <t>0-8519-9397-4</t>
  </si>
  <si>
    <t>978-1-7806-4183-6</t>
  </si>
  <si>
    <t>978-1-7892-4782-4</t>
  </si>
  <si>
    <t>1-7806-4417-5</t>
  </si>
  <si>
    <t>Intellectual Property Rights and Food Security</t>
  </si>
  <si>
    <t>Poultry Feedstuffs</t>
  </si>
  <si>
    <t>Chemical Food Safety</t>
  </si>
  <si>
    <t>China's  Livestock Revolution</t>
  </si>
  <si>
    <t>1-7892-4654-7</t>
  </si>
  <si>
    <t>Basic Monitoring in Canine and Feline Emergency Patients</t>
  </si>
  <si>
    <t>1-8459-3294-3</t>
  </si>
  <si>
    <t>Bacterial Pili</t>
  </si>
  <si>
    <t>Beginning Date</t>
  </si>
  <si>
    <t>1-8459-3392-3</t>
  </si>
  <si>
    <t>978-1-7806-4473-8</t>
  </si>
  <si>
    <t>978-1-8459-3459-0</t>
  </si>
  <si>
    <t>Climate Change in Contrasting River Basins</t>
  </si>
  <si>
    <t>Plant Cold Hardiness</t>
  </si>
  <si>
    <t>978-1-8459-3001-1</t>
  </si>
  <si>
    <t>1-7806-4521-X</t>
  </si>
  <si>
    <t>Tourism and Inequality</t>
  </si>
  <si>
    <t>1-7892-4879-5</t>
  </si>
  <si>
    <t>1-7892-4543-5</t>
  </si>
  <si>
    <t>Social Tourism</t>
  </si>
  <si>
    <t>Fish Diseases and Disorders, Volume 2</t>
  </si>
  <si>
    <t>Natural Antimicrobials in Food Safety and Quality</t>
  </si>
  <si>
    <t>978-1-7863-9487-3</t>
  </si>
  <si>
    <t>1-7863-9045-0</t>
  </si>
  <si>
    <t>1-7863-9481-2</t>
  </si>
  <si>
    <t>Forest Biodiversity</t>
  </si>
  <si>
    <t>Metabolomics and Systems Biology in Human Health and Medicine</t>
  </si>
  <si>
    <t>978-1-8459-3410-1</t>
  </si>
  <si>
    <t>Alternative Systems for Poultry - Health, Welfare and Productivity</t>
  </si>
  <si>
    <t>0-8519-9602-7</t>
  </si>
  <si>
    <t>Mushrooms</t>
  </si>
  <si>
    <t>Multifunctional Agriculture</t>
  </si>
  <si>
    <t>Amenity Migrants, The</t>
  </si>
  <si>
    <t>978-1-7863-9144-5</t>
  </si>
  <si>
    <t>Managing Water and Agroecosystems for Food Security</t>
  </si>
  <si>
    <t>978-1-7806-4790-6</t>
  </si>
  <si>
    <t>978-1-7863-9373-9</t>
  </si>
  <si>
    <t>978-1-8459-3594-8</t>
  </si>
  <si>
    <t>Ecology of Soil Decomposition, The</t>
  </si>
  <si>
    <t>Nutrients for Sugar Beet Production</t>
  </si>
  <si>
    <t>978-0-8519-9009-5</t>
  </si>
  <si>
    <t>978-1-7863-9401-9</t>
  </si>
  <si>
    <t>0-8519-9678-7</t>
  </si>
  <si>
    <t>Emotional Well-being for Animal Welfare Professionals</t>
  </si>
  <si>
    <t>Home Parenteral Nutrition</t>
  </si>
  <si>
    <t>978-1-7806-4815-6</t>
  </si>
  <si>
    <t>1-8459-3673-6</t>
  </si>
  <si>
    <t>People and Work in Events and Conventions</t>
  </si>
  <si>
    <t>Tourism Behaviour</t>
  </si>
  <si>
    <t>Invasive Species and Global Climate Change</t>
  </si>
  <si>
    <t>Practical Feline Behaviour</t>
  </si>
  <si>
    <t>Resource Allocation Theory Applied to Farm Animal Production</t>
  </si>
  <si>
    <t>1-7806-4850-2</t>
  </si>
  <si>
    <t>1-8006-2079-9</t>
  </si>
  <si>
    <t>Valuing Mediterranean Forests</t>
  </si>
  <si>
    <t>Chickpea Breeding &amp; Management</t>
  </si>
  <si>
    <t>978-0-8519-9320-1</t>
  </si>
  <si>
    <t>978-1-7806-4207-9</t>
  </si>
  <si>
    <t>978-1-8459-3215-2</t>
  </si>
  <si>
    <t>Invertebrates as Webmasters in Ecosystems</t>
  </si>
  <si>
    <t>Ecotourism in Scandinavia</t>
  </si>
  <si>
    <t>978-1-8459-3973-1</t>
  </si>
  <si>
    <t>Fungicides in Crop Protection</t>
  </si>
  <si>
    <t>978-1-7806-4088-4</t>
  </si>
  <si>
    <t>Forestry and Climate Change</t>
  </si>
  <si>
    <t>978-0-8519-9003-3</t>
  </si>
  <si>
    <t>978-1-7806-4403-5</t>
  </si>
  <si>
    <t>Rangeland Degradation and Recovery in China's Pastoral Lands</t>
  </si>
  <si>
    <t>Tourism and Resilience</t>
  </si>
  <si>
    <t>978-1-8459-3808-6</t>
  </si>
  <si>
    <t>978-1-7806-4294-9</t>
  </si>
  <si>
    <t>Nutrition and Immune Function</t>
  </si>
  <si>
    <t>0-8519-9613-2</t>
  </si>
  <si>
    <t>Almonds</t>
  </si>
  <si>
    <t>978-1-7863-9506-1</t>
  </si>
  <si>
    <t>978-1-7806-4411-0</t>
  </si>
  <si>
    <t>1-7806-4151-6</t>
  </si>
  <si>
    <t>Planted Forests</t>
  </si>
  <si>
    <t>Food Safety and International Competitiveness</t>
  </si>
  <si>
    <t>1-8459-3030-4</t>
  </si>
  <si>
    <t>Woodland Development</t>
  </si>
  <si>
    <t>Veterinary Practice Management</t>
  </si>
  <si>
    <t>Biostimulants for Crop Production and Sustainable Agriculture</t>
  </si>
  <si>
    <t>Plant Pest Risk Analysis</t>
  </si>
  <si>
    <t>1-7806-4764-6</t>
  </si>
  <si>
    <t>978-1-7806-4263-5</t>
  </si>
  <si>
    <t>0-8519-9083-5</t>
  </si>
  <si>
    <t>1-8459-3931-X</t>
  </si>
  <si>
    <t>Peer-to-Peer Accommodation and Community Resilience</t>
  </si>
  <si>
    <t>Asian Citrus Psyllid</t>
  </si>
  <si>
    <t>978-1-8459-3931-1</t>
  </si>
  <si>
    <t>1-7806-4523-6</t>
  </si>
  <si>
    <t>978-0-8519-9083-5</t>
  </si>
  <si>
    <t>1-7863-9433-2</t>
  </si>
  <si>
    <t>1-7806-4294-6</t>
  </si>
  <si>
    <t>Emerging Trends in Agri-Nanotechnology</t>
  </si>
  <si>
    <t>Parasitic Nematodes</t>
  </si>
  <si>
    <t>978-1-8459-3662-4</t>
  </si>
  <si>
    <t>0-8519-9549-7</t>
  </si>
  <si>
    <t>978-1-7863-9054-7</t>
  </si>
  <si>
    <t>1-7863-9027-2</t>
  </si>
  <si>
    <t>978-1-8459-3279-4</t>
  </si>
  <si>
    <t>1-7806-4223-7</t>
  </si>
  <si>
    <t>978-1-8459-3804-8</t>
  </si>
  <si>
    <t>Biological Control in Latin America and the Caribbean</t>
  </si>
  <si>
    <t>1-7892-4592-3</t>
  </si>
  <si>
    <t>1-7806-4726-3</t>
  </si>
  <si>
    <t>978-1-8459-3956-4</t>
  </si>
  <si>
    <t>1-7892-4054-9</t>
  </si>
  <si>
    <t>Ethical Tensions From New Technology</t>
  </si>
  <si>
    <t>1-7806-4337-3</t>
  </si>
  <si>
    <t>1-7806-4259-8</t>
  </si>
  <si>
    <t>Tropical Fruit Pests &amp; Pollinators</t>
  </si>
  <si>
    <t>1-7806-4426-4</t>
  </si>
  <si>
    <t>1-7863-9083-3</t>
  </si>
  <si>
    <t>978-1-7863-9621-1</t>
  </si>
  <si>
    <t>978-1-7863-9334-0</t>
  </si>
  <si>
    <t>Maize Kernel Development</t>
  </si>
  <si>
    <t>978-1-7806-4145-4</t>
  </si>
  <si>
    <t>978-1-7863-9514-6</t>
  </si>
  <si>
    <t>Natural Environments and Human Health</t>
  </si>
  <si>
    <t>Invasive Alien Species</t>
  </si>
  <si>
    <t>Enabling Agri-entrepreneurship and Innovation</t>
  </si>
  <si>
    <t>978-1-8459-3287-9</t>
  </si>
  <si>
    <t>1-7892-4021-2</t>
  </si>
  <si>
    <t>Invasive Plant Ecology and Management: Linking Processes to Practice</t>
  </si>
  <si>
    <t>978-1-7806-4499-8</t>
  </si>
  <si>
    <t>Indigenous Fruit Trees in the Tropics</t>
  </si>
  <si>
    <t>978-1-8459-3211-4</t>
  </si>
  <si>
    <t>Tourism Management</t>
  </si>
  <si>
    <t>1-8459-3124-6</t>
  </si>
  <si>
    <t>Intellectual Property Rights in Animal Breeding and Genetics</t>
  </si>
  <si>
    <t>978-1-7806-4508-7</t>
  </si>
  <si>
    <t>978-1-7863-9831-4</t>
  </si>
  <si>
    <t>Biology and Management of Bactrocera and Related Fruit Flies</t>
  </si>
  <si>
    <t>978-1-7806-4778-4</t>
  </si>
  <si>
    <t>1-8459-3254-4</t>
  </si>
  <si>
    <t>978-1-8459-3400-2</t>
  </si>
  <si>
    <t>978-1-8459-3281-7</t>
  </si>
  <si>
    <t>978-1-7892-4798-5</t>
  </si>
  <si>
    <t>978-1-8459-3696-9</t>
  </si>
  <si>
    <t>1-8459-3219-6</t>
  </si>
  <si>
    <t>1-7892-4568-0</t>
  </si>
  <si>
    <t>978-0-8519-9549-6</t>
  </si>
  <si>
    <t>1-7892-4610-5</t>
  </si>
  <si>
    <t>1-7892-4210-X</t>
  </si>
  <si>
    <t>Tourism Ecolabelling</t>
  </si>
  <si>
    <t>Toxocara</t>
  </si>
  <si>
    <t>1-8459-3071-1</t>
  </si>
  <si>
    <t>Sweet Cherries</t>
  </si>
  <si>
    <t>1-7863-9064-7</t>
  </si>
  <si>
    <t>978-1-8459-3657-0</t>
  </si>
  <si>
    <t>Yams</t>
  </si>
  <si>
    <t>978-1-7806-4266-6</t>
  </si>
  <si>
    <t>Sustainable Water Management in Smallholder Farming</t>
  </si>
  <si>
    <t>Measuring &amp; Auditing Broiler Welfare</t>
  </si>
  <si>
    <t>Nature of Crops, The</t>
  </si>
  <si>
    <t>Mineral Nutrition of Livestock, The</t>
  </si>
  <si>
    <t>Promoting Investment in Agriculture for Increased Production and Productivity</t>
  </si>
  <si>
    <t>Sheep Nutrition</t>
  </si>
  <si>
    <t>978-1-8459-3189-6</t>
  </si>
  <si>
    <t>978-1-8459-3386-9</t>
  </si>
  <si>
    <t>Field Trials in Oil Palm Breeding</t>
  </si>
  <si>
    <t>978-1-7806-4530-8</t>
  </si>
  <si>
    <t>1-8459-3247-1</t>
  </si>
  <si>
    <t>Ecological Effects of Electricity Generation, Storage and Use</t>
  </si>
  <si>
    <t>978-0-8519-9077-4</t>
  </si>
  <si>
    <t>1-7892-4540-0</t>
  </si>
  <si>
    <t>978-1-8459-3206-0</t>
  </si>
  <si>
    <t>1-8459-3468-7</t>
  </si>
  <si>
    <t>1-7892-4788-8</t>
  </si>
  <si>
    <t>1-8459-3534-9</t>
  </si>
  <si>
    <t>1-8459-3498-9</t>
  </si>
  <si>
    <t>Microbial Biotechnology</t>
  </si>
  <si>
    <t>978-1-7806-4257-4</t>
  </si>
  <si>
    <t>Volunteer Tourism</t>
  </si>
  <si>
    <t>Proceedings of the XII International Symposium on Biological Control of Weeds</t>
  </si>
  <si>
    <t>1-7863-9234-8</t>
  </si>
  <si>
    <t>978-1-8459-3395-1</t>
  </si>
  <si>
    <t>1-7806-4352-7</t>
  </si>
  <si>
    <t>Strategic Event Leveraging</t>
  </si>
  <si>
    <t>1-8459-3447-4</t>
  </si>
  <si>
    <t>1-7863-9253-4</t>
  </si>
  <si>
    <t>978-0-8519-9128-3</t>
  </si>
  <si>
    <t>978-1-7892-4275-1</t>
  </si>
  <si>
    <t>978-1-7892-4583-7</t>
  </si>
  <si>
    <t>Many Voices of Pilgrimage and Reconciliation, The</t>
  </si>
  <si>
    <t>978-1-8459-3033-2</t>
  </si>
  <si>
    <t>Olfaction in Animal Behaviour and Welfare</t>
  </si>
  <si>
    <t>Destination Marketing and Management</t>
  </si>
  <si>
    <t>Tourism in National Parks and Protected Areas</t>
  </si>
  <si>
    <t>978-1-7806-4537-7</t>
  </si>
  <si>
    <t>0-8519-9022-3</t>
  </si>
  <si>
    <t>Genetics and Genomics of the Rabbit, The</t>
  </si>
  <si>
    <t>978-1-7892-4687-2</t>
  </si>
  <si>
    <t>0-8519-9833-X</t>
  </si>
  <si>
    <t>1st_Edition</t>
  </si>
  <si>
    <t>978-1-7863-9499-6</t>
  </si>
  <si>
    <t>Crop Improvement, Adoption, and Impact of Improved Varieties in Food Crops in Sub-Saharan Africa</t>
  </si>
  <si>
    <t>Introgression from Genetically Modified Plants into Wild Relatives</t>
  </si>
  <si>
    <t>1-7892-4515-X</t>
  </si>
  <si>
    <t>978-1-8459-3385-2</t>
  </si>
  <si>
    <t>978-1-7892-4654-4</t>
  </si>
  <si>
    <t>1-7806-4437-X</t>
  </si>
  <si>
    <t>1-8459-3683-3</t>
  </si>
  <si>
    <t>Genetics of the Horse, The</t>
  </si>
  <si>
    <t>0-8519-9912-3</t>
  </si>
  <si>
    <t>978-1-7806-4460-8</t>
  </si>
  <si>
    <t>978-1-7806-4764-7</t>
  </si>
  <si>
    <t>978-1-8459-3099-8</t>
  </si>
  <si>
    <t>1-7806-4049-8</t>
  </si>
  <si>
    <t>No-tillage Seeding in Conservation Agriculture</t>
  </si>
  <si>
    <t>Pink Tourism</t>
  </si>
  <si>
    <t>1-7806-4195-8</t>
  </si>
  <si>
    <t>978-1-8459-3156-8</t>
  </si>
  <si>
    <t>1-8459-3237-4</t>
  </si>
  <si>
    <t>Health Benefits of Green Tea</t>
  </si>
  <si>
    <t>1-7806-4862-6</t>
  </si>
  <si>
    <t>Biotechnology of Major Cereals</t>
  </si>
  <si>
    <t>978-1-8459-3756-0</t>
  </si>
  <si>
    <t>Pomegranate, The</t>
  </si>
  <si>
    <t>1-7892-4243-6</t>
  </si>
  <si>
    <t>978-1-7806-4091-4</t>
  </si>
  <si>
    <t>Quest to Conserve Rare Breeds, The</t>
  </si>
  <si>
    <t>Health, Nutrition and Food Demand</t>
  </si>
  <si>
    <t>978-1-8459-3382-1</t>
  </si>
  <si>
    <t>0-8519-9908-5</t>
  </si>
  <si>
    <t>978-1-7806-4193-5</t>
  </si>
  <si>
    <t>1-8459-3372-9</t>
  </si>
  <si>
    <t>978-1-8459-3506-1</t>
  </si>
  <si>
    <t>1-7806-4511-2</t>
  </si>
  <si>
    <t>1-8459-3281-1</t>
  </si>
  <si>
    <t>978-0-8519-9079-8</t>
  </si>
  <si>
    <t>1-7806-4247-4</t>
  </si>
  <si>
    <t>1-7863-9278-X</t>
  </si>
  <si>
    <t>Seed Biology and Yield of Grain Crops</t>
  </si>
  <si>
    <t>Maternal and Perinatal Health in Developing Countries</t>
  </si>
  <si>
    <t>978-1-8459-3401-9</t>
  </si>
  <si>
    <t>1-7892-4555-9</t>
  </si>
  <si>
    <t>1-7892-4705-5</t>
  </si>
  <si>
    <t>Ideological, Social and Cultural Aspects of Events</t>
  </si>
  <si>
    <t>978-1-8459-3296-1</t>
  </si>
  <si>
    <t>978-1-7806-4323-6</t>
  </si>
  <si>
    <t>Crop Wild Relative Conservation and Use</t>
  </si>
  <si>
    <t>Hemp Diseases and Pests</t>
  </si>
  <si>
    <t>978-1-7892-4785-5</t>
  </si>
  <si>
    <t>978-0-8519-9032-3</t>
  </si>
  <si>
    <t>978-1-8006-2125-1</t>
  </si>
  <si>
    <t>Transfrontier Conservation in Africa</t>
  </si>
  <si>
    <t>978-1-8459-3937-3</t>
  </si>
  <si>
    <t>Fire Blight</t>
  </si>
  <si>
    <t>978-1-7863-9464-4</t>
  </si>
  <si>
    <t>1-7863-9319-0</t>
  </si>
  <si>
    <t>0-8519-9405-9</t>
  </si>
  <si>
    <t>Linking Urban and Rural Tourism</t>
  </si>
  <si>
    <t>978-1-7806-4325-0</t>
  </si>
  <si>
    <t>978-1-7806-4318-2</t>
  </si>
  <si>
    <t>1-7863-9624-6</t>
  </si>
  <si>
    <t>1-7892-4217-7</t>
  </si>
  <si>
    <t>Restoring Community Connections to the Land</t>
  </si>
  <si>
    <t>1-8459-3271-4</t>
  </si>
  <si>
    <t>978-1-7863-9045-5</t>
  </si>
  <si>
    <t>Practical Canine Behaviour</t>
  </si>
  <si>
    <t>1-7863-9588-6</t>
  </si>
  <si>
    <t>1-8459-3476-8</t>
  </si>
  <si>
    <t>Hemp</t>
  </si>
  <si>
    <t>Sustainable Animal Agriculture</t>
  </si>
  <si>
    <t>1-8459-3221-8</t>
  </si>
  <si>
    <t>978-1-7863-9083-7</t>
  </si>
  <si>
    <t>Nutrition and Feeding of Organic Pigs</t>
  </si>
  <si>
    <t>978-1-7806-4767-8</t>
  </si>
  <si>
    <t>1-7892-4109-X</t>
  </si>
  <si>
    <t>978-1-8459-3032-5</t>
  </si>
  <si>
    <t>1-8459-3677-9</t>
  </si>
  <si>
    <t>978-1-7806-4463-9</t>
  </si>
  <si>
    <t>978-1-8459-3843-7</t>
  </si>
  <si>
    <t>Animal Welfare and Meat Production</t>
  </si>
  <si>
    <t>Nitrogen Fixation</t>
  </si>
  <si>
    <t>Nourishing the Land, Nourishing the People</t>
  </si>
  <si>
    <t>Molecular Breeding in Wheat, Maize and Sorghum</t>
  </si>
  <si>
    <t>1-8459-3204-8</t>
  </si>
  <si>
    <t>Risk and Safety Challenges for Religious Tourism and Events</t>
  </si>
  <si>
    <t>Trees, Crops and Soil Fertility</t>
  </si>
  <si>
    <t>Camel Meat and Meat Products</t>
  </si>
  <si>
    <t>Himalayan Soap Pod Tree (Gymnocladus assamicus)</t>
  </si>
  <si>
    <t>Poplars and Willows</t>
  </si>
  <si>
    <t>978-1-8459-3165-0</t>
  </si>
  <si>
    <t>Controlled Atmosphere Storage of Fruit and Vegetables</t>
  </si>
  <si>
    <t>Tropical Tuber Starches</t>
  </si>
  <si>
    <t>978-1-7863-9364-7</t>
  </si>
  <si>
    <t>Tourism in Peripheries</t>
  </si>
  <si>
    <t>Olive Oil and Health</t>
  </si>
  <si>
    <t>978-1-7892-4595-0</t>
  </si>
  <si>
    <t>978-1-7863-9159-9</t>
  </si>
  <si>
    <t>Animal Domestication and Behaviour</t>
  </si>
  <si>
    <t>Productivity Growth in Agriculture</t>
  </si>
  <si>
    <t>Vegetable Production and Marketing in Africa</t>
  </si>
  <si>
    <t>History and Evolution of Tourism, The</t>
  </si>
  <si>
    <t>Leisure Activities in the Outdoors</t>
  </si>
  <si>
    <t>Plant Genetic Resources and Climate Change</t>
  </si>
  <si>
    <t>Soil Carbon</t>
  </si>
  <si>
    <t>1-8459-3288-9</t>
  </si>
  <si>
    <t>Forests at the Land-Atmosphere Interface</t>
  </si>
  <si>
    <t>Grassland Ecophysiology and Grazing Ecology</t>
  </si>
  <si>
    <t>978-1-7806-4525-4</t>
  </si>
  <si>
    <t>Indigenous Ecotourism</t>
  </si>
  <si>
    <t>1-8459-3180-7</t>
  </si>
  <si>
    <t>1-7806-4668-2</t>
  </si>
  <si>
    <t>Health Emergency Preparedness and Response</t>
  </si>
  <si>
    <t>Crossing in Oil Palm</t>
  </si>
  <si>
    <t>Domestic Animal Behaviour and Welfare</t>
  </si>
  <si>
    <t>1-7863-9124-4</t>
  </si>
  <si>
    <t>Bread, Beer and the Seeds of Change</t>
  </si>
  <si>
    <t>Planetary Health</t>
  </si>
  <si>
    <t>1-8459-3810-0</t>
  </si>
  <si>
    <t>978-1-7863-9392-0</t>
  </si>
  <si>
    <t>Agricultural Markets in a Transitioning Economy</t>
  </si>
  <si>
    <t>Peach, The</t>
  </si>
  <si>
    <t>1-8459-3242-0</t>
  </si>
  <si>
    <t>Soil Biodiversity in Amazonian and Other Brazilian Ecosystems</t>
  </si>
  <si>
    <t>1-7863-9476-6</t>
  </si>
  <si>
    <t>978-1-8459-3677-8</t>
  </si>
  <si>
    <t>1-8459-3578-0</t>
  </si>
  <si>
    <t>1-8459-3538-1</t>
  </si>
  <si>
    <t>978-1-7863-9032-5</t>
  </si>
  <si>
    <t>978-1-8459-3353-1</t>
  </si>
  <si>
    <t>Tomatoes</t>
  </si>
  <si>
    <t>Antimicrobial Drug Discovery</t>
  </si>
  <si>
    <t>Conservation of Cultural Landscapes, The</t>
  </si>
  <si>
    <t>978-1-7892-4243-0</t>
  </si>
  <si>
    <t>978-1-7863-9349-4</t>
  </si>
  <si>
    <t>Competitive Destination, The</t>
  </si>
  <si>
    <t>978-1-8459-3112-4</t>
  </si>
  <si>
    <t>978-1-8459-3494-1</t>
  </si>
  <si>
    <t>Mycoplasma Diseases of Ruminants</t>
  </si>
  <si>
    <t>1-8459-3767-8</t>
  </si>
  <si>
    <t>Fish Parasites</t>
  </si>
  <si>
    <t>OfferedOn</t>
  </si>
  <si>
    <t>0-8519-9030-4</t>
  </si>
  <si>
    <t>1-7806-4820-0</t>
  </si>
  <si>
    <t>1-7892-4076-X</t>
  </si>
  <si>
    <t>Goat Production and Supply Chain Management in the Tropics</t>
  </si>
  <si>
    <t>Forestry Budgets and Accounts</t>
  </si>
  <si>
    <t>978-1-7892-4681-0</t>
  </si>
  <si>
    <t>Tourism Transformations in Protected Area Gateway Communities</t>
  </si>
  <si>
    <t>1-8459-3937-9</t>
  </si>
  <si>
    <t>978-0-8519-9054-5</t>
  </si>
  <si>
    <t>1-7806-4109-5</t>
  </si>
  <si>
    <t>GIS and Spatial Analysis in Veterinary Science</t>
  </si>
  <si>
    <t>978-1-7863-9278-7</t>
  </si>
  <si>
    <t>Soy Protein and Formulated Meat Products</t>
  </si>
  <si>
    <t>Welfare of the Laying Hen</t>
  </si>
  <si>
    <t>Service Failures and Recovery in Tourism and Hospitality</t>
  </si>
  <si>
    <t>978-1-8459-3513-9</t>
  </si>
  <si>
    <t>Grassland Productivity and Ecosystem Services</t>
  </si>
  <si>
    <t>978-1-8459-3789-8</t>
  </si>
  <si>
    <t>Insect Evolutionary Ecology</t>
  </si>
  <si>
    <t>978-1-7806-4437-0</t>
  </si>
  <si>
    <t>Applied Animal Endocrinology</t>
  </si>
  <si>
    <t>978-1-7892-4555-4</t>
  </si>
  <si>
    <t>Insects as Animal Feed</t>
  </si>
  <si>
    <t>978-1-7806-4099-0</t>
  </si>
  <si>
    <t>1-8459-3759-7</t>
  </si>
  <si>
    <t>Cultural Tourism Research Methods</t>
  </si>
  <si>
    <t>1-7806-4366-7</t>
  </si>
  <si>
    <t>1-8459-3412-1</t>
  </si>
  <si>
    <t>Biodiversity of West African Forests</t>
  </si>
  <si>
    <t>1-7892-4711-X</t>
  </si>
  <si>
    <t>Sustainable Management of Vertisols, The</t>
  </si>
  <si>
    <t>1-7863-9340-9</t>
  </si>
  <si>
    <t>978-0-8519-9833-6</t>
  </si>
  <si>
    <t>978-1-8459-3518-4</t>
  </si>
  <si>
    <t>978-1-7806-4833-0</t>
  </si>
  <si>
    <t>Hydroponics and Protected Cultivation</t>
  </si>
  <si>
    <t>1-7806-4403-5</t>
  </si>
  <si>
    <t>978-1-8006-2021-6</t>
  </si>
  <si>
    <t>978-1-7863-9451-4</t>
  </si>
  <si>
    <t>Enzymes in Farm Animal Nutrition</t>
  </si>
  <si>
    <t>1-7892-4145-6</t>
  </si>
  <si>
    <t>Irrigation and River Basin Management</t>
  </si>
  <si>
    <t>Climate Change and Global Health</t>
  </si>
  <si>
    <t>978-1-7806-4401-1</t>
  </si>
  <si>
    <t>1-7806-4341-1</t>
  </si>
  <si>
    <t>Rainfed Agriculture</t>
  </si>
  <si>
    <t>978-1-8459-3065-3</t>
  </si>
  <si>
    <t>978-1-8459-3056-1</t>
  </si>
  <si>
    <t>1-7806-4289-X</t>
  </si>
  <si>
    <t>1-7863-9225-9</t>
  </si>
  <si>
    <t>978-1-8459-3704-1</t>
  </si>
  <si>
    <t>Crisis Management in Tourism</t>
  </si>
  <si>
    <t>978-1-8459-3487-3</t>
  </si>
  <si>
    <t>978-1-8459-3851-2</t>
  </si>
  <si>
    <t>Veterinary Treatment of Sheep and Goats</t>
  </si>
  <si>
    <t>978-1-7892-4136-5</t>
  </si>
  <si>
    <t>978-1-8459-3566-5</t>
  </si>
  <si>
    <t>Weaner Pig, The</t>
  </si>
  <si>
    <t>Consumer Psychology of Tourism, Hospitality and Leisure Volume 2</t>
  </si>
  <si>
    <t>1-8459-3051-7</t>
  </si>
  <si>
    <t>978-1-8459-3269-5</t>
  </si>
  <si>
    <t>Transforming Tertiary Agricultural Education in Africa</t>
  </si>
  <si>
    <t>Protein Turnover</t>
  </si>
  <si>
    <t>0-8519-9502-0</t>
  </si>
  <si>
    <t>978-1-8459-3760-7</t>
  </si>
  <si>
    <t>1-8459-3550-0</t>
  </si>
  <si>
    <t>Loquat</t>
  </si>
  <si>
    <t>Behavioural Biology of Chickens, The</t>
  </si>
  <si>
    <t>978-0-8519-9059-0</t>
  </si>
  <si>
    <t>0-8519-9542-X</t>
  </si>
  <si>
    <t>1-8459-3170-X</t>
  </si>
  <si>
    <t>Managing Soil Quality</t>
  </si>
  <si>
    <t>10th_Edition</t>
  </si>
  <si>
    <t>978-1-7892-4571-4</t>
  </si>
  <si>
    <t>978-1-8459-3059-2</t>
  </si>
  <si>
    <t>978-1-8459-3839-0</t>
  </si>
  <si>
    <t>Coffee Pests, Diseases and their Management</t>
  </si>
  <si>
    <t>978-1-7892-4360-4</t>
  </si>
  <si>
    <t>978-1-7863-9915-1</t>
  </si>
  <si>
    <t>978-1-7806-4686-2</t>
  </si>
  <si>
    <t>1-8459-3657-4</t>
  </si>
  <si>
    <t>Life at Extremes: Environments, Organisms and Strategies for Survival</t>
  </si>
  <si>
    <t>1-7806-4343-8</t>
  </si>
  <si>
    <t>Farm Animal Medicine and Surgery</t>
  </si>
  <si>
    <t>Mammalian Genomics</t>
  </si>
  <si>
    <t>1-7806-4859-6</t>
  </si>
  <si>
    <t>Phytobacteriology</t>
  </si>
  <si>
    <t>1-7806-4420-5</t>
  </si>
  <si>
    <t>Sustainable Destination Branding and Marketing</t>
  </si>
  <si>
    <t>Integrated Natural Resources Management</t>
  </si>
  <si>
    <t>Impact of Science on African Agriculture and Food Security</t>
  </si>
  <si>
    <t>1-8459-3225-0</t>
  </si>
  <si>
    <t>978-1-7806-4761-6</t>
  </si>
  <si>
    <t>1-8006-2146-9</t>
  </si>
  <si>
    <t>1-8006-2128-0</t>
  </si>
  <si>
    <t>Crisis and Conflict in Agriculture</t>
  </si>
  <si>
    <t>978-1-8459-3242-8</t>
  </si>
  <si>
    <t>978-1-8459-3195-7</t>
  </si>
  <si>
    <t>1-8459-3399-0</t>
  </si>
  <si>
    <t>978-0-8519-9318-8</t>
  </si>
  <si>
    <t>Employment Dynamics in Rural Europe</t>
  </si>
  <si>
    <t>1-8459-3397-4</t>
  </si>
  <si>
    <t>Ruminant Physiology</t>
  </si>
  <si>
    <t>978-1-7806-4356-4</t>
  </si>
  <si>
    <t>978-1-7892-4927-9</t>
  </si>
  <si>
    <t>Agricultural Biotechnology and Intellectual Property Protection</t>
  </si>
  <si>
    <t>978-1-8459-3628-0</t>
  </si>
  <si>
    <t>978-1-7806-4354-0</t>
  </si>
  <si>
    <t>978-1-7806-4812-5</t>
  </si>
  <si>
    <t>Meat Science</t>
  </si>
  <si>
    <t>978-1-7806-4140-9</t>
  </si>
  <si>
    <t>1-7863-9239-9</t>
  </si>
  <si>
    <t>Women and Pilgrimage</t>
  </si>
  <si>
    <t>Veterinary Treatment of Pigs</t>
  </si>
  <si>
    <t>Sustainable Island Tourism</t>
  </si>
  <si>
    <t>Agri-food Chain Relationships</t>
  </si>
  <si>
    <t>Fish Diseases and Disorders, Volume 3: Viral, Bacterial and Fungal Infections</t>
  </si>
  <si>
    <t>978-1-8459-3822-2</t>
  </si>
  <si>
    <t>Free Time and Leisure Participation</t>
  </si>
  <si>
    <t>978-1-7892-4616-2</t>
  </si>
  <si>
    <t>978-1-8006-2128-2</t>
  </si>
  <si>
    <t>978-1-7806-4373-1</t>
  </si>
  <si>
    <t>Biological Control of Plant-parasitic Nematodes</t>
  </si>
  <si>
    <t>1-8459-3885-2</t>
  </si>
  <si>
    <t>1-7806-4738-7</t>
  </si>
  <si>
    <t>1-7863-9221-6</t>
  </si>
  <si>
    <t>1-7806-4266-0</t>
  </si>
  <si>
    <t>978-1-7806-4541-4</t>
  </si>
  <si>
    <t>978-1-8459-3672-3</t>
  </si>
  <si>
    <t>978-1-8459-3806-2</t>
  </si>
  <si>
    <t>Globalization and the Least Developed Countries</t>
  </si>
  <si>
    <t>1-7863-9136-8</t>
  </si>
  <si>
    <t>978-1-7863-9201-5</t>
  </si>
  <si>
    <t>Farmers, Scientists and Plant Breeding</t>
  </si>
  <si>
    <t>Nitrate, Agriculture and the Enivronment</t>
  </si>
  <si>
    <t>1-7806-4359-4</t>
  </si>
  <si>
    <t>978-1-8459-3835-2</t>
  </si>
  <si>
    <t>Building Community Capacity for Tourism Development</t>
  </si>
  <si>
    <t>978-1-7892-4660-5</t>
  </si>
  <si>
    <t>978-1-8459-3833-8</t>
  </si>
  <si>
    <t>1-8459-3165-3</t>
  </si>
  <si>
    <t>1-7806-4663-1</t>
  </si>
  <si>
    <t>978-1-7892-4054-2</t>
  </si>
  <si>
    <t>1-7806-4101-X</t>
  </si>
  <si>
    <t>978-1-7892-4498-4</t>
  </si>
  <si>
    <t>Controlled Atmosphere Storage of Fruits and Vegetables</t>
  </si>
  <si>
    <t>978-1-8459-3992-2</t>
  </si>
  <si>
    <t>Infectious Forest Diseases</t>
  </si>
  <si>
    <t>1-7806-4089-7</t>
  </si>
  <si>
    <t>Economics of Animal Health and Production, The</t>
  </si>
  <si>
    <t>1-7892-4182-0</t>
  </si>
  <si>
    <t>978-1-7806-4523-0</t>
  </si>
  <si>
    <t>Rural Women in Leadership</t>
  </si>
  <si>
    <t>Desiccation and Survival in Plants</t>
  </si>
  <si>
    <t>Sociological Perspectives of Organic Agriculture</t>
  </si>
  <si>
    <t>Dark Tourism and Pilgrimage</t>
  </si>
  <si>
    <t>1-7806-4036-6</t>
  </si>
  <si>
    <t>978-1-8459-3644-0</t>
  </si>
  <si>
    <t>Conservation Agriculture in Subsistence Farming</t>
  </si>
  <si>
    <t>978-1-7806-4359-5</t>
  </si>
  <si>
    <t>978-1-8459-3082-0</t>
  </si>
  <si>
    <t>978-1-7806-4308-3</t>
  </si>
  <si>
    <t>978-1-8459-3680-8</t>
  </si>
  <si>
    <t>1-8459-3042-8</t>
  </si>
  <si>
    <t>978-1-7892-4313-0</t>
  </si>
  <si>
    <t>1-7806-4432-9</t>
  </si>
  <si>
    <t>978-1-7892-4823-4</t>
  </si>
  <si>
    <t>1-7863-9330-1</t>
  </si>
  <si>
    <t>978-1-7806-4843-9</t>
  </si>
  <si>
    <t>1-8459-3607-8</t>
  </si>
  <si>
    <t>1-8459-3798-8</t>
  </si>
  <si>
    <t>978-1-8459-3323-4</t>
  </si>
  <si>
    <t>978-1-7806-4101-0</t>
  </si>
  <si>
    <t>978-1-7806-4212-3</t>
  </si>
  <si>
    <t>Festival and Event Tourism</t>
  </si>
  <si>
    <t>978-0-8519-9575-5</t>
  </si>
  <si>
    <t>978-1-7806-4049-5</t>
  </si>
  <si>
    <t>Animal Nutrition with Transgenic Plants</t>
  </si>
  <si>
    <t>1-8459-3250-1</t>
  </si>
  <si>
    <t>978-1-8459-3283-1</t>
  </si>
  <si>
    <t>Bacteriophages in Health and Disease</t>
  </si>
  <si>
    <t>978-1-8459-3898-7</t>
  </si>
  <si>
    <t>1-7863-9511-8</t>
  </si>
  <si>
    <t>1-7806-4423-X</t>
  </si>
  <si>
    <t>Poisoning by Plants, Mycotoxins, and Related Toxins</t>
  </si>
  <si>
    <t>978-1-8459-3246-6</t>
  </si>
  <si>
    <t>1-8459-3116-5</t>
  </si>
  <si>
    <t>Mastitis Control in Dairy Herds</t>
  </si>
  <si>
    <t>1-8459-3818-6</t>
  </si>
  <si>
    <t>978-1-7892-4672-8</t>
  </si>
  <si>
    <t>Quality Control &amp; Production of Biological Control Agents</t>
  </si>
  <si>
    <t>978-1-8459-3753-9</t>
  </si>
  <si>
    <t>Growing Older</t>
  </si>
  <si>
    <t>1-7806-4162-1</t>
  </si>
  <si>
    <t>1-8459-3665-5</t>
  </si>
  <si>
    <t>1-8459-3716-3</t>
  </si>
  <si>
    <t>1-7892-4723-3</t>
  </si>
  <si>
    <t>0-8519-9027-4</t>
  </si>
  <si>
    <t>1-8459-3541-1</t>
  </si>
  <si>
    <t>1-7806-4270-9</t>
  </si>
  <si>
    <t>1-8459-3474-1</t>
  </si>
  <si>
    <t>International Trade and Food Security</t>
  </si>
  <si>
    <t>Genetics of Cattle, The</t>
  </si>
  <si>
    <t>978-0-8519-9678-3</t>
  </si>
  <si>
    <t>978-1-7892-4021-4</t>
  </si>
  <si>
    <t>978-1-7892-4095-5</t>
  </si>
  <si>
    <t>978-1-7892-4504-2</t>
  </si>
  <si>
    <t>978-1-7806-4160-7</t>
  </si>
  <si>
    <t>978-1-8459-3407-1</t>
  </si>
  <si>
    <t>978-0-8519-9613-4</t>
  </si>
  <si>
    <t>Irrigation Water Pricing</t>
  </si>
  <si>
    <t>Pilgrims</t>
  </si>
  <si>
    <t>978-1-8459-3458-3</t>
  </si>
  <si>
    <t>1-8459-3465-2</t>
  </si>
  <si>
    <t>Vegetable Seed Production</t>
  </si>
  <si>
    <t>978-1-7892-4543-1</t>
  </si>
  <si>
    <t>978-1-7892-4257-7</t>
  </si>
  <si>
    <t>New Horizons in Tourism</t>
  </si>
  <si>
    <t>Postharvest Physiology and Hypobaric Storage of Fresh Produce</t>
  </si>
  <si>
    <t>1-8459-3760-0</t>
  </si>
  <si>
    <t>1-8459-3348-6</t>
  </si>
  <si>
    <t>Veterinary Ethics in Practice</t>
  </si>
  <si>
    <t>1-7892-4013-1</t>
  </si>
  <si>
    <t>Climate Change &amp; Global Crop Productivity</t>
  </si>
  <si>
    <t>1-8459-3400-8</t>
  </si>
  <si>
    <t>1-8459-3252-8</t>
  </si>
  <si>
    <t>1-7806-4519-8</t>
  </si>
  <si>
    <t>1-8459-3841-0</t>
  </si>
  <si>
    <t>978-1-8459-3828-4</t>
  </si>
  <si>
    <t>978-1-7892-4515-8</t>
  </si>
  <si>
    <t>978-1-8459-3414-9</t>
  </si>
  <si>
    <t>1-7892-4616-4</t>
  </si>
  <si>
    <t>978-1-7892-4548-6</t>
  </si>
  <si>
    <t>Companion Animal Economics</t>
  </si>
  <si>
    <t>1-7806-4694-1</t>
  </si>
  <si>
    <t>978-1-7806-4352-6</t>
  </si>
  <si>
    <t>978-1-8459-3346-3</t>
  </si>
  <si>
    <t>978-1-7806-4156-0</t>
  </si>
  <si>
    <t>Agricultural Biotechnology and Transatlantic Trade</t>
  </si>
  <si>
    <t>978-1-8459-3474-3</t>
  </si>
  <si>
    <t>978-1-7806-4447-9</t>
  </si>
  <si>
    <t>978-1-8459-3120-9</t>
  </si>
  <si>
    <t>1-8459-3835-6</t>
  </si>
  <si>
    <t>1-7806-4815-4</t>
  </si>
  <si>
    <t>978-1-8459-3068-4</t>
  </si>
  <si>
    <t>Conserving Land, Protecting Water</t>
  </si>
  <si>
    <t>5th_Edition</t>
  </si>
  <si>
    <t>Halophytes and Climate Change</t>
  </si>
  <si>
    <t>Responsible Marine Aquaculture</t>
  </si>
  <si>
    <t>1-7806-4156-7</t>
  </si>
  <si>
    <t>978-1-8459-3025-7</t>
  </si>
  <si>
    <t>Rabbit Production</t>
  </si>
  <si>
    <t>Soil Erosion and Sediment Redistribution in River Catchments</t>
  </si>
  <si>
    <t>Sustainable Diets</t>
  </si>
  <si>
    <t>Tourism, Recreation and Sustainability</t>
  </si>
  <si>
    <t>Domestic Duck Production</t>
  </si>
  <si>
    <t>0-8519-9949-2</t>
  </si>
  <si>
    <t>Seeds</t>
  </si>
  <si>
    <t>0-8519-9014-2</t>
  </si>
  <si>
    <t>1-8006-2097-7</t>
  </si>
  <si>
    <t>Combating Micronutrient Deficiencies</t>
  </si>
  <si>
    <t>Pest Management in Cotton</t>
  </si>
  <si>
    <t>Tourism and Leisure Behaviour in an Ageing World</t>
  </si>
  <si>
    <t>978-1-7806-4334-2</t>
  </si>
  <si>
    <t>Economics of Regulation in Agriculture, The</t>
  </si>
  <si>
    <t>0-8519-9088-6</t>
  </si>
  <si>
    <t>Handbook of Microbial Bioresources, The</t>
  </si>
  <si>
    <t>1-7892-4299-1</t>
  </si>
  <si>
    <t>Animal Nutrition Science</t>
  </si>
  <si>
    <t>1-8459-3267-6</t>
  </si>
  <si>
    <t>1-7806-4164-8</t>
  </si>
  <si>
    <t>978-1-8459-3674-7</t>
  </si>
  <si>
    <t>1-8459-3921-2</t>
  </si>
  <si>
    <t>Gene Flow</t>
  </si>
  <si>
    <t>978-1-8459-3970-0</t>
  </si>
  <si>
    <t>1-7806-4308-X</t>
  </si>
  <si>
    <t>1-8459-3391-5</t>
  </si>
  <si>
    <t>978-1-8459-3684-6</t>
  </si>
  <si>
    <t>Human-Livestock Interactions</t>
  </si>
  <si>
    <t>978-1-7806-4190-4</t>
  </si>
  <si>
    <t>1-7863-9442-1</t>
  </si>
  <si>
    <t>1-8459-3406-7</t>
  </si>
  <si>
    <t>Ecological and Economic Entomology</t>
  </si>
  <si>
    <t>978-1-8459-3679-2</t>
  </si>
  <si>
    <t>978-1-8459-3468-2</t>
  </si>
  <si>
    <t>Finfish Aquaculture Diversification</t>
  </si>
  <si>
    <t>1-8459-3389-3</t>
  </si>
  <si>
    <t>1-8459-3559-4</t>
  </si>
  <si>
    <t>1-8459-3048-7</t>
  </si>
  <si>
    <t>Below-ground Interactions in Tropical Agroecosystems</t>
  </si>
  <si>
    <t>978-1-7806-4451-6</t>
  </si>
  <si>
    <t>1-8459-3815-1</t>
  </si>
  <si>
    <t>Urban Pest Control</t>
  </si>
  <si>
    <t/>
  </si>
  <si>
    <t>1-7863-9326-3</t>
  </si>
  <si>
    <t>1-7806-4375-6</t>
  </si>
  <si>
    <t>1-8459-3970-0</t>
  </si>
  <si>
    <t>1-8459-3649-3</t>
  </si>
  <si>
    <t>Island Tourism</t>
  </si>
  <si>
    <t>Horse Genetics</t>
  </si>
  <si>
    <t>1-8459-3482-2</t>
  </si>
  <si>
    <t>Mechanistic Modelling in Pig and Poultry Production</t>
  </si>
  <si>
    <t>Integrated Resource and Environmental Management</t>
  </si>
  <si>
    <t>1-7806-4257-1</t>
  </si>
  <si>
    <t>Pilgrimage and Tourism to Holy Cities</t>
  </si>
  <si>
    <t>978-1-8459-3465-1</t>
  </si>
  <si>
    <t>Ecotourism and Conservation in the Americas</t>
  </si>
  <si>
    <t>Forage Evaluation in Ruminant Nutrition</t>
  </si>
  <si>
    <t>978-1-7892-4278-2</t>
  </si>
  <si>
    <t>978-1-8459-3962-5</t>
  </si>
  <si>
    <t>1-8459-3458-X</t>
  </si>
  <si>
    <t>978-1-7806-4628-2</t>
  </si>
  <si>
    <t>1-7806-4700-X</t>
  </si>
  <si>
    <t>Tropical Vegetable Production</t>
  </si>
  <si>
    <t>978-1-8459-3508-5</t>
  </si>
  <si>
    <t>1-8459-3411-3</t>
  </si>
  <si>
    <t>Overtourism</t>
  </si>
  <si>
    <t>978-1-8459-3847-5</t>
  </si>
  <si>
    <t>978-1-7806-4164-5</t>
  </si>
  <si>
    <t>1-7863-9377-8</t>
  </si>
  <si>
    <t>1-8459-3387-7</t>
  </si>
  <si>
    <t>978-0-8519-9949-4</t>
  </si>
  <si>
    <t>978-1-7892-4979-8</t>
  </si>
  <si>
    <t>Seed Fate</t>
  </si>
  <si>
    <t>Diseases of Tropical Fruit Crops</t>
  </si>
  <si>
    <t>Tourism Planning and Development in South Asia</t>
  </si>
  <si>
    <t>978-1-7863-9228-2</t>
  </si>
  <si>
    <t>Phytochemicals of Nutraceutical Importance</t>
  </si>
  <si>
    <t>1-7806-4767-0</t>
  </si>
  <si>
    <t>978-1-7806-4735-7</t>
  </si>
  <si>
    <t>Agricultural Technologies and Tropical Deforestation</t>
  </si>
  <si>
    <t>Nutrient Elements in Grassland</t>
  </si>
  <si>
    <t>Poultry Production in Hot Climates</t>
  </si>
  <si>
    <t>978-1-8459-3986-1</t>
  </si>
  <si>
    <t>Nutritional Modelling for Pigs and Poultry</t>
  </si>
  <si>
    <t>1-7806-4226-1</t>
  </si>
  <si>
    <t>1-8459-3669-8</t>
  </si>
  <si>
    <t>Behavioural Ecology of Parasites, The</t>
  </si>
  <si>
    <t>1-7806-4428-0</t>
  </si>
  <si>
    <t>978-1-7863-9455-2</t>
  </si>
  <si>
    <t>Transformational Tourism</t>
  </si>
  <si>
    <t>978-1-7806-4770-8</t>
  </si>
  <si>
    <t>1-7806-4447-7</t>
  </si>
  <si>
    <t>Fundamentals of Tropical Turf Management</t>
  </si>
  <si>
    <t>Forests in Sustainable Mountain Development</t>
  </si>
  <si>
    <t>1-7863-9198-8</t>
  </si>
  <si>
    <t>978-1-7806-4423-3</t>
  </si>
  <si>
    <t>Poultry Feathers and Skin</t>
  </si>
  <si>
    <t>Advances in PGPR Research</t>
  </si>
  <si>
    <t>1-7892-4060-3</t>
  </si>
  <si>
    <t>1-8459-3546-2</t>
  </si>
  <si>
    <t>4th_Edition</t>
  </si>
  <si>
    <t>1-8459-3940-9</t>
  </si>
  <si>
    <t>Market Development for Genetically Modified Foods</t>
  </si>
  <si>
    <t>1-8459-3516-0</t>
  </si>
  <si>
    <t>Controversies in Tourism</t>
  </si>
  <si>
    <t>Elephant Tourism Business, The</t>
  </si>
  <si>
    <t>Seed Dispersal &amp; Frugivory</t>
  </si>
  <si>
    <t>978-1-8459-3841-3</t>
  </si>
  <si>
    <t>Tourism and Visual Culture, Volume 2</t>
  </si>
  <si>
    <t>Potential Invasive Pests of Agricultural Crops</t>
  </si>
  <si>
    <t>Equine Thermography in Practice</t>
  </si>
  <si>
    <t>Conservation Tourism</t>
  </si>
  <si>
    <t>Intellectual Property Issues in Biotechnology</t>
  </si>
  <si>
    <t>978-1-8459-3556-6</t>
  </si>
  <si>
    <t>1-7806-4021-8</t>
  </si>
  <si>
    <t>Pandemic Influenza</t>
  </si>
  <si>
    <t>1-7892-4057-3</t>
  </si>
  <si>
    <t>Transition to Agricultural Market Economies</t>
  </si>
  <si>
    <t>1-8459-3524-1</t>
  </si>
  <si>
    <t>978-1-7806-4093-8</t>
  </si>
  <si>
    <t>1-7863-9401-4</t>
  </si>
  <si>
    <t>Tropical Deltas and Coastal Zones: Food Production, Communities and Environment at the Land-Water Interface</t>
  </si>
  <si>
    <t>Gender, Climate Change and Livelihoods</t>
  </si>
  <si>
    <t>1-7806-4197-4</t>
  </si>
  <si>
    <t>Biotic Interactions in Plant-Pathogen Associations</t>
  </si>
  <si>
    <t>978-1-7806-4631-2</t>
  </si>
  <si>
    <t>Urban Pest Management</t>
  </si>
  <si>
    <t>1-8459-3666-3</t>
  </si>
  <si>
    <t>1-8006-2086-1</t>
  </si>
  <si>
    <t>1-7892-4321-1</t>
  </si>
  <si>
    <t>Priorities in Biopesticide Research and Development in Developing Countries</t>
  </si>
  <si>
    <t>978-1-8459-3152-0</t>
  </si>
  <si>
    <t>978-0-8519-9022-4</t>
  </si>
  <si>
    <t>Arctic Tourism Experiences</t>
  </si>
  <si>
    <t>978-1-8459-3170-4</t>
  </si>
  <si>
    <t>Climate Change Impacts on Urban Pests</t>
  </si>
  <si>
    <t>1-7806-4790-5</t>
  </si>
  <si>
    <t>Tourism Research Methods</t>
  </si>
  <si>
    <t>Raspberries</t>
  </si>
  <si>
    <t>1-7892-4669-5</t>
  </si>
  <si>
    <t>978-1-7806-4738-8</t>
  </si>
  <si>
    <t>1-7806-4316-0</t>
  </si>
  <si>
    <t>1-8006-2033-0</t>
  </si>
  <si>
    <t>Tourism SMES, Service Quality and Destination Competitiveness</t>
  </si>
  <si>
    <t>Environmental Risk Assessment of Genetically Modified Organisms, Volume 1</t>
  </si>
  <si>
    <t>978-1-8459-3311-1</t>
  </si>
  <si>
    <t>1-8459-3594-2</t>
  </si>
  <si>
    <t>1-7806-4530-9</t>
  </si>
  <si>
    <t>UV-B Radiation and Plant Life</t>
  </si>
  <si>
    <t>Planning Agricultural Research: A Sourcebook</t>
  </si>
  <si>
    <t>Bacteria from Fish and Other Aquatic Animals</t>
  </si>
  <si>
    <t>978-1-8459-3040-0</t>
  </si>
  <si>
    <t>184-5-9306-7177-7</t>
  </si>
  <si>
    <t>1-7892-4164-2</t>
  </si>
  <si>
    <t>Cucurbits</t>
  </si>
  <si>
    <t>978-1-8459-3761-4</t>
  </si>
  <si>
    <t>1-8459-3792-9</t>
  </si>
  <si>
    <t>Public Concerns, Environmental Standards and Agricultural Trade</t>
  </si>
  <si>
    <t>978-0-8519-9030-9</t>
  </si>
  <si>
    <t>978-1-8459-3114-8</t>
  </si>
  <si>
    <t>Bovine Tuberculosis</t>
  </si>
  <si>
    <t>Greenhouse Gas Sinks</t>
  </si>
  <si>
    <t>978-1-7806-4103-4</t>
  </si>
  <si>
    <t>Animal Abuse</t>
  </si>
  <si>
    <t>978-1-7806-4483-7</t>
  </si>
  <si>
    <t>Agriculture and Intellectual Property Rights</t>
  </si>
  <si>
    <t>1-7863-9185-6</t>
  </si>
  <si>
    <t>Rodent Pests and their Control</t>
  </si>
  <si>
    <t>Pest Risk Modelling and Mapping for Invasive Alien Species</t>
  </si>
  <si>
    <t>978-1-7806-4505-6</t>
  </si>
  <si>
    <t>1-8459-3026-6</t>
  </si>
  <si>
    <t>1-7806-4209-1</t>
  </si>
  <si>
    <t>1-7892-4729-2</t>
  </si>
  <si>
    <t>0-8519-9009-6</t>
  </si>
  <si>
    <t>978-1-8459-3646-4</t>
  </si>
  <si>
    <t>1-7892-4963-5</t>
  </si>
  <si>
    <t>978-1-7863-9098-1</t>
  </si>
  <si>
    <t>Tropical Forests of the Guiana Shield</t>
  </si>
  <si>
    <t>978-1-8459-3409-5</t>
  </si>
  <si>
    <t>TEFL Tourism</t>
  </si>
  <si>
    <t>978-1-7806-4428-8</t>
  </si>
  <si>
    <t>978-1-7806-4036-5</t>
  </si>
  <si>
    <t>Tourism and Gender</t>
  </si>
  <si>
    <t>978-1-8459-3801-7</t>
  </si>
  <si>
    <t>978-1-7806-4663-3</t>
  </si>
  <si>
    <t>978-1-8459-3923-6</t>
  </si>
  <si>
    <t>Planning for Tourism, Leisure and Sustainability</t>
  </si>
  <si>
    <t>Biology of Animal Stress, The</t>
  </si>
  <si>
    <t>1-8459-3258-7</t>
  </si>
  <si>
    <t>Tourism, Progress and Peace</t>
  </si>
  <si>
    <t>Managing Plant Genetic Diversity</t>
  </si>
  <si>
    <t>Leisure Education, Community Development &amp; Populations with Special Needs</t>
  </si>
  <si>
    <t>978-1-7806-4108-9</t>
  </si>
  <si>
    <t>1-7863-9503-7</t>
  </si>
  <si>
    <t>OVIDSP</t>
  </si>
  <si>
    <t>978-1-7863-9136-0</t>
  </si>
  <si>
    <t>1-7892-4089-1</t>
  </si>
  <si>
    <t>Mites of Greenhouses</t>
  </si>
  <si>
    <t>1-8459-3002-9</t>
  </si>
  <si>
    <t>1-7892-4350-5</t>
  </si>
  <si>
    <t>Publisher</t>
  </si>
  <si>
    <t>978-1-8459-3671-6</t>
  </si>
  <si>
    <t>978-1-7892-4565-3</t>
  </si>
  <si>
    <t>Plant Adaptation to Environmental Change</t>
  </si>
  <si>
    <t>978-1-7892-4217-1</t>
  </si>
  <si>
    <t>Citrus Mites</t>
  </si>
  <si>
    <t>978-1-7892-4875-3</t>
  </si>
  <si>
    <t>Automation in Tree Fruit Production</t>
  </si>
  <si>
    <t>978-1-7892-4164-8</t>
  </si>
  <si>
    <t>978-1-8459-3247-3</t>
  </si>
  <si>
    <t>Sustainable Forestry</t>
  </si>
  <si>
    <t>1-8459-3070-3</t>
  </si>
  <si>
    <t>978-1-8459-3817-8</t>
  </si>
  <si>
    <t>Destination Competitiveness, The Environment and Sustainability</t>
  </si>
  <si>
    <t>1-8459-3658-2</t>
  </si>
  <si>
    <t>1-8459-3678-7</t>
  </si>
  <si>
    <t>Cruise Ship Tourism</t>
  </si>
  <si>
    <t>Rabbit Behaviour, Health and Care</t>
  </si>
  <si>
    <t>Food Supply Networks</t>
  </si>
  <si>
    <t>978-1-8459-3639-6</t>
  </si>
  <si>
    <t>978-1-8459-3853-6</t>
  </si>
  <si>
    <t>1-8459-3681-7</t>
  </si>
  <si>
    <t>Tilapia Culture</t>
  </si>
  <si>
    <t>Equine Endocrinology</t>
  </si>
  <si>
    <t>978-1-7806-4694-7</t>
  </si>
  <si>
    <t>978-1-7863-9404-0</t>
  </si>
  <si>
    <t>978-1-7892-4112-9</t>
  </si>
  <si>
    <t>978-0-8519-9580-9</t>
  </si>
  <si>
    <t>1-8459-3660-4</t>
  </si>
  <si>
    <t>1-7806-4705-0</t>
  </si>
  <si>
    <t>978-1-8459-3716-4</t>
  </si>
  <si>
    <t>Nursery Practices in Oil Palm</t>
  </si>
  <si>
    <t>978-1-7806-4275-8</t>
  </si>
  <si>
    <t>978-1-8459-3489-7</t>
  </si>
  <si>
    <t>1-7863-9514-2</t>
  </si>
  <si>
    <t>1-8459-3603-5</t>
  </si>
  <si>
    <t>978-1-8459-3412-5</t>
  </si>
  <si>
    <t>1-8459-3099-1</t>
  </si>
  <si>
    <t>1-8459-3804-6</t>
  </si>
  <si>
    <t>1-7806-4535-X</t>
  </si>
  <si>
    <t>1-7806-4103-6</t>
  </si>
  <si>
    <t>Urban Aquaculture</t>
  </si>
  <si>
    <t>Community-Based Water Law and Water Resource Managment Reform in Developing Countries</t>
  </si>
  <si>
    <t>Antimicrobial Peptides</t>
  </si>
  <si>
    <t>978-1-8459-3797-3</t>
  </si>
  <si>
    <t>978-1-8459-3940-3</t>
  </si>
  <si>
    <t>1-7806-4140-0</t>
  </si>
  <si>
    <t>1-7806-4392-6</t>
  </si>
  <si>
    <t>Deafness in Dogs and Cats</t>
  </si>
  <si>
    <t>978-1-7892-4145-7</t>
  </si>
  <si>
    <t>Forest Tourism and Recreation</t>
  </si>
  <si>
    <t>Crop-soil Simulation Models</t>
  </si>
  <si>
    <t>1-7806-4108-7</t>
  </si>
  <si>
    <t>1-8459-3882-8</t>
  </si>
  <si>
    <t>978-1-8459-3005-9</t>
  </si>
  <si>
    <t>Goat Meat Production and Quality</t>
  </si>
  <si>
    <t>978-1-7892-4263-8</t>
  </si>
  <si>
    <t>Bioassays of Entomopathogenic Microbes &amp; Nematodes</t>
  </si>
  <si>
    <t>Irrigation Systems</t>
  </si>
  <si>
    <t>Rural Tourism and Recreation</t>
  </si>
  <si>
    <t>Human Microbiota and Microbiome, The</t>
  </si>
  <si>
    <t>1-7892-4720-9</t>
  </si>
  <si>
    <t>978-1-7806-4784-5</t>
  </si>
  <si>
    <t>Managing Visitor Experiences in Nature-Based Tourism</t>
  </si>
  <si>
    <t>Nutrition, Immunity &amp; Infections</t>
  </si>
  <si>
    <t>Trends in the Systematics of Bacteria and Fungi</t>
  </si>
  <si>
    <t>978-1-8459-3387-6</t>
  </si>
  <si>
    <t>6th_Edition</t>
  </si>
  <si>
    <t>Mathematical Modelling in Animal Nutrition</t>
  </si>
  <si>
    <t>1-7806-4775-1</t>
  </si>
  <si>
    <t>1-8459-3065-7</t>
  </si>
  <si>
    <t>1-8459-3215-3</t>
  </si>
  <si>
    <t>Nematode Parasites of Vertebrates</t>
  </si>
  <si>
    <t>1-7892-4363-7</t>
  </si>
  <si>
    <t>Arthropod Pests of Horticultural Crops in Tropical Asia</t>
  </si>
  <si>
    <t>Dynamics of Hired Farm Labour, The</t>
  </si>
  <si>
    <t>Research Themes for Events</t>
  </si>
  <si>
    <t>Phoma Identification Manual</t>
  </si>
  <si>
    <t>1-7892-4483-8</t>
  </si>
  <si>
    <t>978-1-8459-3809-3</t>
  </si>
  <si>
    <t>1-8459-3211-0</t>
  </si>
  <si>
    <t>978-1-8459-3945-8</t>
  </si>
  <si>
    <t>1-8459-3380-X</t>
  </si>
  <si>
    <t>1-8459-3809-7</t>
  </si>
  <si>
    <t>1-7863-9054-X</t>
  </si>
  <si>
    <t>Tourist Destinations</t>
  </si>
  <si>
    <t>978-1-7806-4210-9</t>
  </si>
  <si>
    <t>978-1-7892-4779-4</t>
  </si>
  <si>
    <t>1-7806-4677-1</t>
  </si>
  <si>
    <t>Biostatistics for Animal Science</t>
  </si>
  <si>
    <t>1-8459-3824-0</t>
  </si>
  <si>
    <t>Adventure Tourism</t>
  </si>
  <si>
    <t>978-1-7892-4013-9</t>
  </si>
  <si>
    <t>1-8459-3626-4</t>
  </si>
  <si>
    <t>1-7892-4807-8</t>
  </si>
  <si>
    <t>1-8459-3655-8</t>
  </si>
  <si>
    <t>Livestock Handling and Transport</t>
  </si>
  <si>
    <t>1-8459-3605-1</t>
  </si>
  <si>
    <t>978-0-8519-9397-3</t>
  </si>
  <si>
    <t>0-8519-9531-4</t>
  </si>
  <si>
    <t>978-1-8459-3791-1</t>
  </si>
  <si>
    <t>Guava</t>
  </si>
  <si>
    <t>978-1-8459-3450-7</t>
  </si>
  <si>
    <t>1-7806-4265-2</t>
  </si>
  <si>
    <t>978-1-7863-9275-6</t>
  </si>
  <si>
    <t>978-1-8459-3478-1</t>
  </si>
  <si>
    <t>Tourism Planning and Development in Latin America</t>
  </si>
  <si>
    <t>Local Identities and Transnational Cults within Europe</t>
  </si>
  <si>
    <t>Ecotourism Policy and Planning</t>
  </si>
  <si>
    <t>Organic Fruit Growing</t>
  </si>
  <si>
    <t>Emotional Intelligence in Tourism and Hospitality</t>
  </si>
  <si>
    <t>International Trade in Forest Products</t>
  </si>
  <si>
    <t>1-8459-3674-4</t>
  </si>
  <si>
    <t>1-7892-4498-6</t>
  </si>
  <si>
    <t>Plant Nematology</t>
  </si>
  <si>
    <t>Carbohydrates in Grain Legume Seeds</t>
  </si>
  <si>
    <t>Climate Change and Insect Pests</t>
  </si>
  <si>
    <t>Natural Antioxidants and Biocides from Wild Medicinal Plants</t>
  </si>
  <si>
    <t>Sentience and Animal Welfare</t>
  </si>
  <si>
    <t>1-8459-3345-1</t>
  </si>
  <si>
    <t>978-1-8459-3669-3</t>
  </si>
  <si>
    <t>1-8459-3213-7</t>
  </si>
  <si>
    <t>1-8459-3714-7</t>
  </si>
  <si>
    <t>978-1-8459-3394-4</t>
  </si>
  <si>
    <t>Turfgrass Physiology and Ecology</t>
  </si>
  <si>
    <t>978-1-7863-9268-8</t>
  </si>
  <si>
    <t>Tourism and Generation Y</t>
  </si>
  <si>
    <t>Environmental Impacts of Ecotourism</t>
  </si>
  <si>
    <t>Biological Control in IPM Systems in Africa</t>
  </si>
  <si>
    <t>1-8459-3395-8</t>
  </si>
  <si>
    <t>1-7806-4499-X</t>
  </si>
  <si>
    <t>978-1-8459-3675-4</t>
  </si>
  <si>
    <t>1-7806-4485-X</t>
  </si>
  <si>
    <t>Crop Stress Management and Global Climate Change</t>
  </si>
  <si>
    <t>1-8459-3849-6</t>
  </si>
  <si>
    <t>Invasive Birds</t>
  </si>
  <si>
    <t>1-7806-4240-7</t>
  </si>
  <si>
    <t>1-8459-3296-X</t>
  </si>
  <si>
    <t>1-8459-3556-X</t>
  </si>
  <si>
    <t>Sustainable Bamboo Development</t>
  </si>
  <si>
    <t>Allium Crop Science</t>
  </si>
  <si>
    <t>Plant Diversity and Evolution: Genotypic and Phenotypic Variation in Higher Plants</t>
  </si>
  <si>
    <t>1-8459-3425-3</t>
  </si>
  <si>
    <t>Phytophthora</t>
  </si>
  <si>
    <t>978-1-8459-3411-8</t>
  </si>
  <si>
    <t>978-1-8459-3626-6</t>
  </si>
  <si>
    <t>978-1-8459-3277-0</t>
  </si>
  <si>
    <t>Agricultural Research Policy in an Era of Privatization</t>
  </si>
  <si>
    <t>1-8459-3688-4</t>
  </si>
  <si>
    <t>Mutation Breeding in Oil Palm</t>
  </si>
  <si>
    <t>Europe's Changing Woods and Forests</t>
  </si>
  <si>
    <t>Soil Hydrology, Land Use and Agriculture</t>
  </si>
  <si>
    <t>1-8459-3789-9</t>
  </si>
  <si>
    <t>Transition Pathways Towards Sustainability in Agriculture</t>
  </si>
  <si>
    <t>1-7806-4019-6</t>
  </si>
  <si>
    <t>978-0-8519-9023-1</t>
  </si>
  <si>
    <t>Visual Soil Evaluation: Realizing Potential Crop Production with Minimum Environmental Impact</t>
  </si>
  <si>
    <t>978-1-8459-3759-1</t>
  </si>
  <si>
    <t>978-1-8459-3258-9</t>
  </si>
  <si>
    <t>1-8006-2041-1</t>
  </si>
  <si>
    <t>1-7806-4732-8</t>
  </si>
  <si>
    <t>Biosecurity Surveillance</t>
  </si>
  <si>
    <t>1-8459-3753-8</t>
  </si>
  <si>
    <t>978-1-7892-4121-1</t>
  </si>
  <si>
    <t>1-8459-3999-9</t>
  </si>
  <si>
    <t>1-7892-4092-1</t>
  </si>
  <si>
    <t>978-1-8459-3642-6</t>
  </si>
  <si>
    <t>Next Rural Economies, The</t>
  </si>
  <si>
    <t>978-1-8459-3098-1</t>
  </si>
  <si>
    <t>1-8459-3201-3</t>
  </si>
  <si>
    <t>978-1-7806-4311-3</t>
  </si>
  <si>
    <t>978-1-7806-4378-6</t>
  </si>
  <si>
    <t>1-7806-4712-3</t>
  </si>
  <si>
    <t>978-1-8459-3424-8</t>
  </si>
  <si>
    <t>Improving Tourism and Hospitality Services</t>
  </si>
  <si>
    <t>Air Pollution</t>
  </si>
  <si>
    <t>1-7806-4770-0</t>
  </si>
  <si>
    <t>Agrobiodiversity Management for Food Security</t>
  </si>
  <si>
    <t>Peas and Beans</t>
  </si>
  <si>
    <t>Spiritual and Religious Tourism</t>
  </si>
  <si>
    <t>Integrated Food Safety and Veterinary Public Health</t>
  </si>
  <si>
    <t>978-1-8459-3390-6</t>
  </si>
  <si>
    <t>Nutrient Deficiencies of Field Crops</t>
  </si>
  <si>
    <t>Service Quality in Leisure and Tourism</t>
  </si>
  <si>
    <t>978-1-7863-9981-6</t>
  </si>
  <si>
    <t>1-8459-3069-X</t>
  </si>
  <si>
    <t>Olives</t>
  </si>
  <si>
    <t>Tourism Crisis and Disaster Management in the Asia-Pacific</t>
  </si>
  <si>
    <t>978-1-7806-4041-9</t>
  </si>
  <si>
    <t>1-7863-9092-2</t>
  </si>
  <si>
    <t>978-1-7806-4392-2</t>
  </si>
  <si>
    <t>Animal and Human Health and Welfare</t>
  </si>
  <si>
    <t>1-7806-4532-5</t>
  </si>
  <si>
    <t>Dairy Herd Health</t>
  </si>
  <si>
    <t>978-1-7806-4203-1</t>
  </si>
  <si>
    <t>Forest Genetics</t>
  </si>
  <si>
    <t>Starter Packs: A Srategy to Fight Hunger in Developing Countries?</t>
  </si>
  <si>
    <t>1-8459-3407-5</t>
  </si>
  <si>
    <t>Discovery of a Visual System, The</t>
  </si>
  <si>
    <t>978-1-7863-9520-7</t>
  </si>
  <si>
    <t>978-1-8459-3611-2</t>
  </si>
  <si>
    <t>978-1-8459-3425-5</t>
  </si>
  <si>
    <t>Tourism in Western Europe</t>
  </si>
  <si>
    <t>1-8459-3450-4</t>
  </si>
  <si>
    <t>978-1-8459-3927-4</t>
  </si>
  <si>
    <t>1-7863-9284-4</t>
  </si>
  <si>
    <t>1-8459-3667-1</t>
  </si>
  <si>
    <t>1-7892-4187-1</t>
  </si>
  <si>
    <t>978-1-8459-3201-5</t>
  </si>
  <si>
    <t>1-7863-9389-1</t>
  </si>
  <si>
    <t>Tourism, Health, Wellbeing and Protected Areas</t>
  </si>
  <si>
    <t>978-1-8459-3498-9</t>
  </si>
  <si>
    <t>978-1-8459-3530-6</t>
  </si>
  <si>
    <t>1-7892-4842-6</t>
  </si>
  <si>
    <t>978-1-8459-3987-8</t>
  </si>
  <si>
    <t>Tourism Enterprise</t>
  </si>
  <si>
    <t>1-7892-4760-8</t>
  </si>
  <si>
    <t>Geographic Health Data</t>
  </si>
  <si>
    <t>Flower Seeds</t>
  </si>
  <si>
    <t>Religious Tourism and Pilgrimage Management</t>
  </si>
  <si>
    <t>Fungicide Resistance in Crop Protection</t>
  </si>
  <si>
    <t>Natural Products in Plant Pest Management</t>
  </si>
  <si>
    <t>1-7892-4660-1</t>
  </si>
  <si>
    <t>1-7863-9076-0</t>
  </si>
  <si>
    <t>978-1-8459-3660-0</t>
  </si>
  <si>
    <t>1-8459-3601-9</t>
  </si>
  <si>
    <t>978-1-8459-3633-4</t>
  </si>
  <si>
    <t>WTO Negotiations and Agricultural Trade Liberalization:</t>
  </si>
  <si>
    <t>978-1-7806-4415-8</t>
  </si>
  <si>
    <t>978-1-7806-4313-7</t>
  </si>
  <si>
    <t>Tourism, Climate Change and the Geopolitics of Arctic Development</t>
  </si>
  <si>
    <t>Growth of Farm Animals</t>
  </si>
  <si>
    <t>978-1-7806-4265-9</t>
  </si>
  <si>
    <t>1-7806-4660-7</t>
  </si>
  <si>
    <t>1-7806-4708-5</t>
  </si>
  <si>
    <t>Food Safety</t>
  </si>
  <si>
    <t>1-8459-3269-2</t>
  </si>
  <si>
    <t>1-7806-4525-2</t>
  </si>
  <si>
    <t>Enhancing Crop Genepool Use</t>
  </si>
  <si>
    <t>1-7863-9067-1</t>
  </si>
  <si>
    <t>Food Tourism</t>
  </si>
  <si>
    <t>Brassica Oilseeds</t>
  </si>
  <si>
    <t>978-1-8459-3256-5</t>
  </si>
  <si>
    <t>978-1-8459-3524-5</t>
  </si>
  <si>
    <t>978-1-8459-3199-5</t>
  </si>
  <si>
    <t>1-8459-3675-2</t>
  </si>
  <si>
    <t>1-8459-3847-X</t>
  </si>
  <si>
    <t>978-1-8459-3352-4</t>
  </si>
  <si>
    <t>Giardia and Cryptosporidium</t>
  </si>
  <si>
    <t>1-7863-9291-7</t>
  </si>
  <si>
    <t>1-7806-4280-6</t>
  </si>
  <si>
    <t>1-7806-4854-5</t>
  </si>
  <si>
    <t>1-7806-4354-3</t>
  </si>
  <si>
    <t>978-1-7863-9470-5</t>
  </si>
  <si>
    <t>978-1-7806-4820-0</t>
  </si>
  <si>
    <t>978-1-8459-3267-1</t>
  </si>
  <si>
    <t>Companion Animal Behaviour Problems</t>
  </si>
  <si>
    <t>Cultural Tourism</t>
  </si>
  <si>
    <t>978-0-8519-9050-7</t>
  </si>
  <si>
    <t>1-8459-3588-8</t>
  </si>
  <si>
    <t>978-1-8459-3766-9</t>
  </si>
  <si>
    <t>978-1-7806-4330-4</t>
  </si>
  <si>
    <t>978-1-8459-3484-2</t>
  </si>
  <si>
    <t>Going Organic</t>
  </si>
  <si>
    <t>1-7806-4216-4</t>
  </si>
  <si>
    <t>Nursery Screening for Ganoderma Response in Oil Palm Seedlings</t>
  </si>
  <si>
    <t>978-1-7806-4715-9</t>
  </si>
  <si>
    <t>978-1-8459-3813-0</t>
  </si>
  <si>
    <t>1-8459-3825-9</t>
  </si>
  <si>
    <t>978-1-8459-3496-5</t>
  </si>
  <si>
    <t>Soil Fertility Decline in the Tropics with Case Studies on Plantations</t>
  </si>
  <si>
    <t>1-8459-3277-3</t>
  </si>
  <si>
    <t>Integrated Pest Management in the Global Arena</t>
  </si>
  <si>
    <t>Mass Tourism in a Small World</t>
  </si>
  <si>
    <t>978-1-7806-4712-8</t>
  </si>
  <si>
    <t>1-7892-4823-X</t>
  </si>
  <si>
    <t>Vacation Decision Making</t>
  </si>
  <si>
    <t>Lime, The</t>
  </si>
  <si>
    <t>1-7892-4927-9</t>
  </si>
  <si>
    <t>978-1-8459-3326-5</t>
  </si>
  <si>
    <t>Physiology of Vegetable Crops, The</t>
  </si>
  <si>
    <t>Plant Resistance to Parasitic Nematodes</t>
  </si>
  <si>
    <t>978-1-7863-9433-0</t>
  </si>
  <si>
    <t>978-1-8459-3576-4</t>
  </si>
  <si>
    <t>Forest Hydrology</t>
  </si>
  <si>
    <t>Psychology of Food Choice, The</t>
  </si>
  <si>
    <t>1-8459-3107-6</t>
  </si>
  <si>
    <t>Conserving Plant Genetic Diversity in Protected Areas</t>
  </si>
  <si>
    <t>Blackberries and Their Hybrids</t>
  </si>
  <si>
    <t>1-8459-3489-X</t>
  </si>
  <si>
    <t>1-7863-9499-5</t>
  </si>
  <si>
    <t>978-1-8459-3929-8</t>
  </si>
  <si>
    <t>Trypanosomiases, The</t>
  </si>
  <si>
    <t>978-1-7863-9172-8</t>
  </si>
  <si>
    <t>Gender Equality and Tourism</t>
  </si>
  <si>
    <t>Biotechnology and Plant Disease Management</t>
  </si>
  <si>
    <t>978-1-7863-9064-6</t>
  </si>
  <si>
    <t>978-1-7892-4592-9</t>
  </si>
  <si>
    <t>1-8459-3156-4</t>
  </si>
  <si>
    <t>978-1-7806-4026-6</t>
  </si>
  <si>
    <t>Cold Hardiness in Plants</t>
  </si>
  <si>
    <t>Introduction to Pet Dental Care, An</t>
  </si>
  <si>
    <t>Good Statistical Practice for Natural Resources Research</t>
  </si>
  <si>
    <t>978-1-7806-4485-1</t>
  </si>
  <si>
    <t>Global Urban Agriculture</t>
  </si>
  <si>
    <t>Silviculture of Trees Used in British Forestry, The</t>
  </si>
  <si>
    <t>Animal Trade, The</t>
  </si>
  <si>
    <t>Rust Diseases of Willow and Poplar</t>
  </si>
  <si>
    <t>978-1-8459-3592-4</t>
  </si>
  <si>
    <t>978-1-7892-4568-4</t>
  </si>
  <si>
    <t>1-7892-4548-6</t>
  </si>
  <si>
    <t>Environmental Impacts of Sugar Production</t>
  </si>
  <si>
    <t>Forestry in a Global Context</t>
  </si>
  <si>
    <t>1-7892-4263-0</t>
  </si>
  <si>
    <t>Environmental Risk Assessment of Genetically Modified Organisms</t>
  </si>
  <si>
    <t>Heritage Tourism Destinations</t>
  </si>
  <si>
    <t>Evaluating Indirect Ecological Effects of Biological Control</t>
  </si>
  <si>
    <t>1-8459-3402-4</t>
  </si>
  <si>
    <t>1-8459-3012-6</t>
  </si>
  <si>
    <t>City Tourism</t>
  </si>
  <si>
    <t>1-7806-4616-X</t>
  </si>
  <si>
    <t>978-1-8459-3180-3</t>
  </si>
  <si>
    <t>Cherries</t>
  </si>
  <si>
    <t>Irrigation and Drainage Performance Assessment</t>
  </si>
  <si>
    <t>Business and management of Ocean Cruises, The</t>
  </si>
  <si>
    <t>978-1-8459-3002-8</t>
  </si>
  <si>
    <t>978-1-8459-3348-7</t>
  </si>
  <si>
    <t>1-7892-4589-3</t>
  </si>
  <si>
    <t>0-8519-9674-4</t>
  </si>
  <si>
    <t>1-7806-4249-0</t>
  </si>
  <si>
    <t>978-1-7892-4702-2</t>
  </si>
  <si>
    <t>1-7863-9364-6</t>
  </si>
  <si>
    <t>1-8459-3992-1</t>
  </si>
  <si>
    <t>1-7863-9039-6</t>
  </si>
  <si>
    <t>1-8459-3574-8</t>
  </si>
  <si>
    <t>Plant Gene Silencing</t>
  </si>
  <si>
    <t>Ecotourism Programme Planning</t>
  </si>
  <si>
    <t>1-8459-3973-5</t>
  </si>
  <si>
    <t>Amino Acids in Human Nutrition and Health</t>
  </si>
  <si>
    <t>1-7863-9032-9</t>
  </si>
  <si>
    <t>1-8459-3385-0</t>
  </si>
  <si>
    <t>Veterinary Treatment of Llamas and Alpacas</t>
  </si>
  <si>
    <t>1-7806-4136-2</t>
  </si>
  <si>
    <t>978-1-7863-9207-7</t>
  </si>
  <si>
    <t>978-1-8459-3984-7</t>
  </si>
  <si>
    <t>978-1-7806-4219-2</t>
  </si>
  <si>
    <t>978-1-7892-4227-0</t>
  </si>
  <si>
    <t>978-1-7806-4625-1</t>
  </si>
  <si>
    <t>978-1-7863-9828-4</t>
  </si>
  <si>
    <t>1-7892-4866-3</t>
  </si>
  <si>
    <t>Plant Genotyping</t>
  </si>
  <si>
    <t>1-7806-4042-0</t>
  </si>
  <si>
    <t>978-1-7892-4820-3</t>
  </si>
  <si>
    <t>Benchmarking in Tourism and Hospitality Industries</t>
  </si>
  <si>
    <t>978-1-8459-3807-9</t>
  </si>
  <si>
    <t>978-1-8459-3824-6</t>
  </si>
  <si>
    <t>978-1-7806-4249-9</t>
  </si>
  <si>
    <t>Disaster Management</t>
  </si>
  <si>
    <t>978-1-8459-3038-7</t>
  </si>
  <si>
    <t>1-7863-9416-2</t>
  </si>
  <si>
    <t>978-1-7806-4697-8</t>
  </si>
  <si>
    <t>1-8459-3404-0</t>
  </si>
  <si>
    <t>Medicinal Plants of the World</t>
  </si>
  <si>
    <t>1-7806-4200-8</t>
  </si>
  <si>
    <t>1-7806-4210-5</t>
  </si>
  <si>
    <t>ISBN-10</t>
  </si>
  <si>
    <t>1-8459-3671-X</t>
  </si>
  <si>
    <t>978-1-7892-4057-3</t>
  </si>
  <si>
    <t>978-1-7892-4210-2</t>
  </si>
  <si>
    <t>Event Management and Sustainability</t>
  </si>
  <si>
    <t>1-7806-4439-6</t>
  </si>
  <si>
    <t>978-1-7863-9355-5</t>
  </si>
  <si>
    <t>0-8519-9318-4</t>
  </si>
  <si>
    <t>978-1-8459-3769-0</t>
  </si>
  <si>
    <t>1-7806-4505-8</t>
  </si>
  <si>
    <t>1-7806-4483-3</t>
  </si>
  <si>
    <t>1-8459-3555-1</t>
  </si>
  <si>
    <t>Research Themes for Tourism</t>
  </si>
  <si>
    <t>Tropical Mycology</t>
  </si>
  <si>
    <t>Quinoa: Botany, Production and Uses</t>
  </si>
  <si>
    <t>1-7892-4121-9</t>
  </si>
  <si>
    <t>978-1-8459-3271-8</t>
  </si>
  <si>
    <t>1-8459-3279-X</t>
  </si>
  <si>
    <t>978-1-7806-4040-2</t>
  </si>
  <si>
    <t>Plant Parasitic Nematodes in Subtropical and Tropical Agriculture</t>
  </si>
  <si>
    <t>Root-knot Nematodes</t>
  </si>
  <si>
    <t>1-7806-4176-1</t>
  </si>
  <si>
    <t>978-1-7806-4195-9</t>
  </si>
  <si>
    <t>Crocodiles</t>
  </si>
  <si>
    <t>Plant Mutation Breeding and Biotechnology</t>
  </si>
  <si>
    <t>1-8459-3261-7</t>
  </si>
  <si>
    <t>978-1-8459-3546-7</t>
  </si>
  <si>
    <t>1-7806-4463-9</t>
  </si>
  <si>
    <t>978-1-8459-3943-4</t>
  </si>
  <si>
    <t>0-8519-9019-3</t>
  </si>
  <si>
    <t>978-1-7892-4076-4</t>
  </si>
  <si>
    <t>Tuberculosis: Laboratory Diagnosis and Treatment Strategies</t>
  </si>
  <si>
    <t>Natural Resource Management in Agriculture</t>
  </si>
  <si>
    <t>1-7892-4782-9</t>
  </si>
  <si>
    <t>978-1-7806-4321-2</t>
  </si>
  <si>
    <t>Potato, The</t>
  </si>
  <si>
    <t>Jumpstart</t>
  </si>
  <si>
    <t>International Research on Natural Resource Management: advances in impact assessment</t>
  </si>
  <si>
    <t>Literary Tourism</t>
  </si>
  <si>
    <t>Lentil, The</t>
  </si>
  <si>
    <t>978-1-8459-3999-1</t>
  </si>
  <si>
    <t>978-1-8459-3882-6</t>
  </si>
  <si>
    <t>Biofuel Crops</t>
  </si>
  <si>
    <t>1-7806-4091-9</t>
  </si>
  <si>
    <t>Leisure and Tourism Policy and Planning</t>
  </si>
  <si>
    <t>978-1-7806-4233-8</t>
  </si>
  <si>
    <t>978-1-7892-4220-1</t>
  </si>
  <si>
    <t>1-8459-3206-4</t>
  </si>
  <si>
    <t>978-1-7863-9067-7</t>
  </si>
  <si>
    <t>1-8459-3494-6</t>
  </si>
  <si>
    <t>978-1-7806-4284-0</t>
  </si>
  <si>
    <t>Tourist Behaviour</t>
  </si>
  <si>
    <t>1-8459-3386-9</t>
  </si>
  <si>
    <t>Peppers</t>
  </si>
  <si>
    <t>1-8459-3343-5</t>
  </si>
  <si>
    <t>Gender and Rural Globalization</t>
  </si>
  <si>
    <t>1-8459-3839-9</t>
  </si>
  <si>
    <t>1-8459-3040-1</t>
  </si>
  <si>
    <t>978-1-8459-3673-0</t>
  </si>
  <si>
    <t>1-8459-3308-7</t>
  </si>
  <si>
    <t>Fungal Plant Pathogens</t>
  </si>
  <si>
    <t>1-8459-3633-7</t>
  </si>
  <si>
    <t>GM Agriculture and Food Security</t>
  </si>
  <si>
    <t>1-8459-3174-2</t>
  </si>
  <si>
    <t>Leafy Medicinal Herbs</t>
  </si>
  <si>
    <t>978-1-8459-3603-7</t>
  </si>
  <si>
    <t>Protozoal Abortion in Farm Ruminants</t>
  </si>
  <si>
    <t>Applied Mycology</t>
  </si>
  <si>
    <t>Forest Policy for Private Forestry</t>
  </si>
  <si>
    <t>1-7863-9355-7</t>
  </si>
  <si>
    <t>Tourism and Protected Areas</t>
  </si>
  <si>
    <t>Developing Successful Agriculture</t>
  </si>
  <si>
    <t>978-1-7806-4100-3</t>
  </si>
  <si>
    <t>978-1-7892-4842-5</t>
  </si>
  <si>
    <t>1-8459-3821-6</t>
  </si>
  <si>
    <t>1-7892-4798-5</t>
  </si>
  <si>
    <t>978-1-8459-3541-2</t>
  </si>
  <si>
    <t>9-2510-7022-9</t>
  </si>
  <si>
    <t>Avian Gut Function in Health and Disease</t>
  </si>
  <si>
    <t>1-7892-4281-9</t>
  </si>
  <si>
    <t>1-7806-4455-8</t>
  </si>
  <si>
    <t>1-7863-9506-1</t>
  </si>
  <si>
    <t>978-1-8459-3980-9</t>
  </si>
  <si>
    <t>Waste Composting for Urban and Peri-urban Agriculture</t>
  </si>
  <si>
    <t>978-1-7892-4187-7</t>
  </si>
  <si>
    <t>1-7806-4179-6</t>
  </si>
  <si>
    <t>Biotechnology Revolution in Global Agriculture, The</t>
  </si>
  <si>
    <t>1-7806-4203-2</t>
  </si>
  <si>
    <t>1-8459-3025-8</t>
  </si>
  <si>
    <t>Manual of Equine Dermatology</t>
  </si>
  <si>
    <t>978-1-7892-4296-6</t>
  </si>
  <si>
    <t>978-1-8459-3553-5</t>
  </si>
  <si>
    <t>1-7806-4006-4</t>
  </si>
  <si>
    <t>Health Benefits of Organic Food</t>
  </si>
  <si>
    <t>1-8459-3639-6</t>
  </si>
  <si>
    <t>'E' Issues for Agribusiness</t>
  </si>
  <si>
    <t>1-7806-4190-7</t>
  </si>
  <si>
    <t>Raptor Medicine, Surgery, and Rehabilitation</t>
  </si>
  <si>
    <t>Transformative Travel in a Mobile World</t>
  </si>
  <si>
    <t>1-8459-3856-9</t>
  </si>
  <si>
    <t>1-7806-4221-0</t>
  </si>
  <si>
    <t>1-8459-3062-2</t>
  </si>
  <si>
    <t>Practical Veterinary Forensics</t>
  </si>
  <si>
    <t>978-1-7806-4726-5</t>
  </si>
  <si>
    <t>1-8459-3459-8</t>
  </si>
  <si>
    <t>1-7863-9398-0</t>
  </si>
  <si>
    <t>Amino Acids in Higher Plants</t>
  </si>
  <si>
    <t>Women, Leisure and Tourism</t>
  </si>
  <si>
    <t>978-1-8459-3054-7</t>
  </si>
  <si>
    <t>Cyst Nematodes</t>
  </si>
  <si>
    <t>1-7806-4709-3</t>
  </si>
  <si>
    <t>1-7892-4785-3</t>
  </si>
  <si>
    <t>Sustainable Crop Disease Management Using Natural Products</t>
  </si>
  <si>
    <t>1-8459-3554-3</t>
  </si>
  <si>
    <t>978-0-8519-9912-8</t>
  </si>
  <si>
    <t>978-1-8459-3254-1</t>
  </si>
  <si>
    <t>Integrated Pest Management</t>
  </si>
  <si>
    <t>978-1-8459-3516-0</t>
  </si>
  <si>
    <t>978-1-7863-9458-3</t>
  </si>
  <si>
    <t>1-8459-3005-3</t>
  </si>
  <si>
    <t>Global Climate Change and Coastal Tourism</t>
  </si>
  <si>
    <t>978-1-7806-4444-8</t>
  </si>
  <si>
    <t>Ticks and Tick-borne Diseases</t>
  </si>
  <si>
    <t>978-1-8459-3261-9</t>
  </si>
  <si>
    <t>978-1-8459-3124-7</t>
  </si>
  <si>
    <t>Plant Genotyping II</t>
  </si>
  <si>
    <t>978-0-8519-9027-9</t>
  </si>
  <si>
    <t>978-1-7806-4363-2</t>
  </si>
  <si>
    <t>978-1-7892-4336-9</t>
  </si>
  <si>
    <t>Nitrogen and Phosphorus Nutrition of Cattle: Reducing the Environmental Impact of Cattle Operations</t>
  </si>
  <si>
    <t>978-1-7892-4705-3</t>
  </si>
  <si>
    <t>978-1-7806-4521-6</t>
  </si>
  <si>
    <t>1-8459-3560-8</t>
  </si>
  <si>
    <t>Plants, Biotechnology and Agriculture</t>
  </si>
  <si>
    <t>978-1-8459-3910-6</t>
  </si>
  <si>
    <t>1-8459-3194-7</t>
  </si>
  <si>
    <t>978-1-7806-4519-3</t>
  </si>
  <si>
    <t>Crop Pollination by Bees, Volume 1</t>
  </si>
  <si>
    <t>978-1-8459-3048-6</t>
  </si>
  <si>
    <t>1-7892-4595-8</t>
  </si>
  <si>
    <t>Fruit Ripening</t>
  </si>
  <si>
    <t>1-8459-3530-6</t>
  </si>
  <si>
    <t>Biosecurity in Animal Production and Veterinary Medicine From Principles to Practice</t>
  </si>
  <si>
    <t>978-0-8519-9831-2</t>
  </si>
  <si>
    <t>978-1-8459-3069-1</t>
  </si>
  <si>
    <t>978-1-8459-3403-3</t>
  </si>
  <si>
    <t>1-8459-3758-9</t>
  </si>
  <si>
    <t>Next-Generation Sequencing and Agriculture</t>
  </si>
  <si>
    <t>1-7863-9384-0</t>
  </si>
  <si>
    <t>Natural Resources Management in African Agriculture</t>
  </si>
  <si>
    <t>978-1-7806-4345-8</t>
  </si>
  <si>
    <t>1-7863-9275-5</t>
  </si>
  <si>
    <t>Field and Laboratory Methods for Grassland and Animal Production Research</t>
  </si>
  <si>
    <t>978-1-8459-3074-5</t>
  </si>
  <si>
    <t>1-7806-4843-X</t>
  </si>
  <si>
    <t>Food Security in Africa and Asia</t>
  </si>
  <si>
    <t>Molecular and Physiological Basis of Nematode Survival</t>
  </si>
  <si>
    <t>Ten Steps to Building a Successful Veterinary Practice</t>
  </si>
  <si>
    <t>1-7806-4263-6</t>
  </si>
  <si>
    <t>Global Rangelands</t>
  </si>
  <si>
    <t>Concepts for Understanding Fruit Trees</t>
  </si>
  <si>
    <t>1-7806-4508-2</t>
  </si>
  <si>
    <t>978-1-7806-4337-3</t>
  </si>
  <si>
    <t>1-8459-3807-0</t>
  </si>
  <si>
    <t>Tourist Destination Governance</t>
  </si>
  <si>
    <t>1-8459-3687-6</t>
  </si>
  <si>
    <t>978-1-7806-4501-8</t>
  </si>
  <si>
    <t>Conflict, Social Capital and Managing Natural Resources</t>
  </si>
  <si>
    <t>Environmental Risk Assessment of Genetically Modified Organisms, Volume 2</t>
  </si>
  <si>
    <t>9th_Edition</t>
  </si>
  <si>
    <t>Methods in Agricultural Chemical Analysis</t>
  </si>
  <si>
    <t>978-1-8459-3616-7</t>
  </si>
  <si>
    <t>978-1-7806-4270-3</t>
  </si>
  <si>
    <t>Nutrition and Behavior</t>
  </si>
  <si>
    <t>1-8006-2021-7</t>
  </si>
  <si>
    <t>978-1-8006-2041-4</t>
  </si>
  <si>
    <t>1-7806-4363-2</t>
  </si>
  <si>
    <t>1-8459-3122-X</t>
  </si>
  <si>
    <t>978-1-8459-3107-0</t>
  </si>
  <si>
    <t>GRAPES</t>
  </si>
  <si>
    <t>Invasive Species and Human Health</t>
  </si>
  <si>
    <t>1-7806-4252-0</t>
  </si>
  <si>
    <t>978-1-8459-3548-1</t>
  </si>
  <si>
    <t>Wastewater Use in Irrigated Agriculture</t>
  </si>
  <si>
    <t>978-1-8459-3601-3</t>
  </si>
  <si>
    <t>1-7806-4613-5</t>
  </si>
  <si>
    <t>1-7863-9373-5</t>
  </si>
  <si>
    <t>978-1-7892-4089-4</t>
  </si>
  <si>
    <t>1-7806-4628-3</t>
  </si>
  <si>
    <t>Cross-sectoral Policy Developments in Forestry</t>
  </si>
  <si>
    <t>Persistence and Change in Rural Communities</t>
  </si>
  <si>
    <t>1-8459-3396-6</t>
  </si>
  <si>
    <t>Natural Enemies of Terrestrial Molluscs</t>
  </si>
  <si>
    <t>1-8459-3326-5</t>
  </si>
  <si>
    <t>978-0-8519-9014-9</t>
  </si>
  <si>
    <t>Invasive Plant Ecology in Natural and Agricultural Systems</t>
  </si>
  <si>
    <t>Cassava</t>
  </si>
  <si>
    <t>1-7892-4214-2</t>
  </si>
  <si>
    <t>978-0-8519-9542-7</t>
  </si>
  <si>
    <t>978-0-8519-9088-0</t>
  </si>
  <si>
    <t>978-1-7863-9234-3</t>
  </si>
  <si>
    <t xml:space="preserve">Err-o-r   -    - </t>
  </si>
  <si>
    <t>Trichoderma</t>
  </si>
  <si>
    <t>Molecular Plant-Microbe Interactions</t>
  </si>
  <si>
    <t>978-1-7892-4540-0</t>
  </si>
  <si>
    <t>Nutrition and Feeding of Organic Poultry</t>
  </si>
  <si>
    <t>Modelling Forest Systems</t>
  </si>
  <si>
    <t>978-1-7806-4568-1</t>
  </si>
  <si>
    <t>978-1-7806-4226-0</t>
  </si>
  <si>
    <t>Introduction to Tourism Transport</t>
  </si>
  <si>
    <t>Nautical Tourism</t>
  </si>
  <si>
    <t>Conservation Agriculture for Africa</t>
  </si>
  <si>
    <t>1-7863-9349-2</t>
  </si>
  <si>
    <t>Small Animal Veterinary Psychiatry</t>
  </si>
  <si>
    <t>Potatoes Postharvest</t>
  </si>
  <si>
    <t>1-8459-3945-X</t>
  </si>
  <si>
    <t>978-1-7806-4653-4</t>
  </si>
  <si>
    <t>Advances in Fig Research and Sustainable Production</t>
  </si>
  <si>
    <t>Insect Pathogens</t>
  </si>
  <si>
    <t>978-1-8459-3290-9</t>
  </si>
  <si>
    <t>Degrowth in Tourism Conceptual</t>
  </si>
  <si>
    <t>1-8459-3696-5</t>
  </si>
  <si>
    <t>Pilgrimage in Practice</t>
  </si>
  <si>
    <t>1-8459-3742-2</t>
  </si>
  <si>
    <t>978-1-8459-3664-8</t>
  </si>
  <si>
    <t>Tourism and Animal Welfare</t>
  </si>
  <si>
    <t>1-7892-4098-0</t>
  </si>
  <si>
    <t>1-7806-4608-9</t>
  </si>
  <si>
    <t>Redesigning Animal Agriculture</t>
  </si>
  <si>
    <t>978-1-7863-9152-0</t>
  </si>
  <si>
    <t>978-1-7806-4109-6</t>
  </si>
  <si>
    <t>978-1-8459-3678-5</t>
  </si>
  <si>
    <t>Stress Response in Pathogenic Bacteria</t>
  </si>
  <si>
    <t>Agrobiodiversity Conservation</t>
  </si>
  <si>
    <t>1-8459-3805-4</t>
  </si>
  <si>
    <t>1-8459-3984-0</t>
  </si>
  <si>
    <t>Animal Health &amp; Welfare in Organic Agriculture</t>
  </si>
  <si>
    <t>978-1-7806-4343-4</t>
  </si>
  <si>
    <t>978-1-7806-4231-4</t>
  </si>
  <si>
    <t>978-1-8459-3051-6</t>
  </si>
  <si>
    <t>1-7806-4778-6</t>
  </si>
  <si>
    <t>1-7892-4702-0</t>
  </si>
  <si>
    <t>978-1-8459-3668-6</t>
  </si>
  <si>
    <t>Biology of Mosquitoes Volume 3, The</t>
  </si>
  <si>
    <t>978-1-8459-3521-4</t>
  </si>
  <si>
    <t>Tourist as a Metaphor of the Social World, The</t>
  </si>
  <si>
    <t>Decentralization and the Social Economics of Development</t>
  </si>
  <si>
    <t>978-1-7892-4690-2</t>
  </si>
  <si>
    <t>978-1-8459-3825-3</t>
  </si>
  <si>
    <t>1-8459-3513-6</t>
  </si>
  <si>
    <t>1-8459-3662-0</t>
  </si>
  <si>
    <t>Citrus</t>
  </si>
  <si>
    <t>978-1-8459-3826-0</t>
  </si>
  <si>
    <t>1-7806-4411-6</t>
  </si>
  <si>
    <t>Managing Outdoor Recreation</t>
  </si>
  <si>
    <t>Land-use Change Impacts on Soil Processes</t>
  </si>
  <si>
    <t>Plant Invasions</t>
  </si>
  <si>
    <t>1-8459-3311-7</t>
  </si>
  <si>
    <t>1-7892-4227-4</t>
  </si>
  <si>
    <t>Winter Tourism</t>
  </si>
  <si>
    <t>1-7806-4278-4</t>
  </si>
  <si>
    <t>978-1-8459-3742-3</t>
  </si>
  <si>
    <t>1-7806-4325-X</t>
  </si>
  <si>
    <t>1-7806-4787-5</t>
  </si>
  <si>
    <t>Bioeconomy, The</t>
  </si>
  <si>
    <t>African Food Crisis, The</t>
  </si>
  <si>
    <t>978-1-8459-3581-8</t>
  </si>
  <si>
    <t>978-1-7863-9416-3</t>
  </si>
  <si>
    <t>Competition and Succession in Pastures</t>
  </si>
  <si>
    <t>978-1-8459-3578-8</t>
  </si>
  <si>
    <t>Climate Change and Agricultural Water Management in Developing Countries</t>
  </si>
  <si>
    <t>Strawberry</t>
  </si>
  <si>
    <t>978-0-8519-9084-2</t>
  </si>
  <si>
    <t>Decentralized Governance of Adaptation to Climate Change in Africa</t>
  </si>
  <si>
    <t>History of Pesticides, A</t>
  </si>
  <si>
    <t>Regenerating Forests and Livelihoods in Nepal</t>
  </si>
  <si>
    <t>978-1-8459-3618-1</t>
  </si>
  <si>
    <t>Freshwater Nematodes</t>
  </si>
  <si>
    <t>Crop Pollination by Bees</t>
  </si>
  <si>
    <t>1-7863-9121-X</t>
  </si>
  <si>
    <t>978-1-8459-3070-7</t>
  </si>
  <si>
    <t>1-7806-4808-1</t>
  </si>
  <si>
    <t>Economics of Farm Animal Welfare, The</t>
  </si>
  <si>
    <t>978-1-8459-3598-6</t>
  </si>
  <si>
    <t>Biocontrol Agents of Phytonematodes</t>
  </si>
  <si>
    <t>1-7806-4541-4</t>
  </si>
  <si>
    <t>978-1-7806-4003-7</t>
  </si>
  <si>
    <t>Multiple Dwelling &amp; Tourism</t>
  </si>
  <si>
    <t>Meningitis</t>
  </si>
  <si>
    <t>978-1-8459-3237-4</t>
  </si>
  <si>
    <t>Veterinary Treatment for Working Equines</t>
  </si>
  <si>
    <t>978-1-8459-3406-4</t>
  </si>
  <si>
    <t>1-8459-3679-5</t>
  </si>
  <si>
    <t>978-1-7806-4255-0</t>
  </si>
  <si>
    <t>1-7806-4394-2</t>
  </si>
  <si>
    <t>1-8459-3644-2</t>
  </si>
  <si>
    <t>Laboratory Production of Cattle Embryos</t>
  </si>
  <si>
    <t>1-7863-9517-7</t>
  </si>
  <si>
    <t>978-1-7806-4432-5</t>
  </si>
  <si>
    <t>Hormonal Regulation of Farm Animal Growth</t>
  </si>
  <si>
    <t>Labels of Origin for Food</t>
  </si>
  <si>
    <t>Tourism Management in Warm-water Island Destinations</t>
  </si>
  <si>
    <t>978-1-7806-4677-0</t>
  </si>
  <si>
    <t>978-1-7892-4156-3</t>
  </si>
  <si>
    <t>978-1-7806-4439-4</t>
  </si>
  <si>
    <t>978-1-8459-3689-1</t>
  </si>
  <si>
    <t>Endophyte Biotechnology</t>
  </si>
  <si>
    <t>Crop Variety Improvement and Its Effect on Productivity</t>
  </si>
  <si>
    <t>1-8459-3256-0</t>
  </si>
  <si>
    <t>1-7892-4296-7</t>
  </si>
  <si>
    <t>Impact of Carbon Dioxide and Other Greenhouse Gases on Forest Ecosystems, The</t>
  </si>
  <si>
    <t>978-1-8459-3223-7</t>
  </si>
  <si>
    <t>1-8459-3033-9</t>
  </si>
  <si>
    <t>Zoonotic Pathogens in the Food Chain</t>
  </si>
  <si>
    <t>1-8459-3814-3</t>
  </si>
  <si>
    <t>978-1-7863-9014-1</t>
  </si>
  <si>
    <t>978-1-7863-9284-8</t>
  </si>
  <si>
    <t>Innovation in Agri-Food Clusters</t>
  </si>
  <si>
    <t>978-1-7892-4098-6</t>
  </si>
  <si>
    <t>Host Gaze in Global Tourism, The</t>
  </si>
  <si>
    <t>978-1-8459-3919-9</t>
  </si>
  <si>
    <t>1-7863-9408-1</t>
  </si>
  <si>
    <t>Managing Tourism and Hospitality Services</t>
  </si>
  <si>
    <t>978-1-7806-4613-8</t>
  </si>
  <si>
    <t>0-8519-9003-7</t>
  </si>
  <si>
    <t>1-8459-3762-7</t>
  </si>
  <si>
    <t>978-1-8459-3208-4</t>
  </si>
  <si>
    <t>Global Forest Fragmentation</t>
  </si>
  <si>
    <t>978-1-7806-4172-0</t>
  </si>
  <si>
    <t>Conflicts, Religion and Culture in Tourism</t>
  </si>
  <si>
    <t>1-7806-4735-2</t>
  </si>
  <si>
    <t>Agriculture and International Trade</t>
  </si>
  <si>
    <t>Natural Polymers for Drug Delivery</t>
  </si>
  <si>
    <t>Weed Ecology in Natural &amp; Agricultural Systems</t>
  </si>
  <si>
    <t>1-8459-3066-5</t>
  </si>
  <si>
    <t>Corporate Social Responsibility</t>
  </si>
  <si>
    <t>978-1-8459-3077-6</t>
  </si>
  <si>
    <t>CABI Publishing</t>
  </si>
  <si>
    <t>978-1-7892-4092-4</t>
  </si>
  <si>
    <t>Handbook of Naturally Occurring Insecticidal Toxins, The</t>
  </si>
  <si>
    <t>978-1-8459-3042-4</t>
  </si>
  <si>
    <t>1-8459-3581-0</t>
  </si>
  <si>
    <t>Fisheries Co-management</t>
  </si>
  <si>
    <t>1-7863-9591-6</t>
  </si>
  <si>
    <t>Radar Entomology</t>
  </si>
  <si>
    <t>978-1-7806-4656-5</t>
  </si>
  <si>
    <t>978-1-7863-9942-7</t>
  </si>
  <si>
    <t>Leisure in Contemporary Society</t>
  </si>
  <si>
    <t>0-8519-9684-1</t>
  </si>
  <si>
    <t>Dairy Goats Feeding and Nutrition</t>
  </si>
  <si>
    <t>1-8459-3532-2</t>
  </si>
  <si>
    <t>978-1-7806-4511-7</t>
  </si>
  <si>
    <t>Animal Machines</t>
  </si>
  <si>
    <t>Companion Animal Bereavement</t>
  </si>
  <si>
    <t>Strategic Management in Tourism</t>
  </si>
  <si>
    <t>Animal Andrology</t>
  </si>
  <si>
    <t>Agro-Industries for Development</t>
  </si>
  <si>
    <t>Manual of Animal Andrology</t>
  </si>
  <si>
    <t>Western Corn Rootworm</t>
  </si>
  <si>
    <t>978-1-8459-3805-5</t>
  </si>
  <si>
    <t>Dilemmas in Animal Welfare</t>
  </si>
  <si>
    <t>Dogs in the Leisure Experience</t>
  </si>
  <si>
    <t>Medicinal Plant Biotechnology</t>
  </si>
  <si>
    <t>978-1-7892-4060-3</t>
  </si>
  <si>
    <t>1-7806-4275-X</t>
  </si>
  <si>
    <t>978-1-7806-4019-8</t>
  </si>
  <si>
    <t>978-1-8459-3767-6</t>
  </si>
  <si>
    <t>Irrigation Management</t>
  </si>
  <si>
    <t>978-1-7806-4396-0</t>
  </si>
  <si>
    <t>Religious Tourism in Asia</t>
  </si>
  <si>
    <t>1-7806-4311-X</t>
  </si>
  <si>
    <t>Events Management</t>
  </si>
  <si>
    <t>1-7806-4451-5</t>
  </si>
  <si>
    <t>978-1-8459-3532-0</t>
  </si>
  <si>
    <t>978-1-7863-9225-1</t>
  </si>
  <si>
    <t>Inositol phosphates</t>
  </si>
  <si>
    <t>1-8459-3664-7</t>
  </si>
  <si>
    <t>1-7806-4233-4</t>
  </si>
  <si>
    <t>978-1-8459-3655-6</t>
  </si>
  <si>
    <t>Policy Reform and Adjustment in the Agricultural Sectors of Developed Countries</t>
  </si>
  <si>
    <t>978-1-7863-9398-2</t>
  </si>
  <si>
    <t>1-8459-3461-X</t>
  </si>
  <si>
    <t>Tourism and Gender-Based Violence</t>
  </si>
  <si>
    <t>1-7806-4219-9</t>
  </si>
  <si>
    <t>ISBN-13</t>
  </si>
  <si>
    <t>978-1-8459-3534-4</t>
  </si>
  <si>
    <t>978-1-7806-4209-3</t>
  </si>
  <si>
    <t>Managing Religious Tourism</t>
  </si>
  <si>
    <t>Forest History: International Studies on Socio-economic and Forest Ecosystem Change</t>
  </si>
  <si>
    <t>Air Pollution and the Forests of Developing and Rapidly Industrializing Regions</t>
  </si>
  <si>
    <t>1-7806-4350-0</t>
  </si>
  <si>
    <t>1-8459-3566-7</t>
  </si>
  <si>
    <t>1-7892-4313-0</t>
  </si>
  <si>
    <t>978-1-7892-4139-6</t>
  </si>
  <si>
    <t>978-1-7806-4043-3</t>
  </si>
  <si>
    <t>978-1-7892-4304-8</t>
  </si>
  <si>
    <t>1-7806-4166-4</t>
  </si>
  <si>
    <t>978-0-8519-9602-8</t>
  </si>
  <si>
    <t>1-7806-4299-7</t>
  </si>
  <si>
    <t>1-7806-4697-6</t>
  </si>
  <si>
    <t>Livestock Production and Climate Change</t>
  </si>
  <si>
    <t>Marine Wildlife and Tourism Management</t>
  </si>
  <si>
    <t>Peptides in Energy Balance and Obesity</t>
  </si>
  <si>
    <t>978-1-7863-9326-5</t>
  </si>
  <si>
    <t>978-1-7806-4223-9</t>
  </si>
  <si>
    <t>1-7806-4470-1</t>
  </si>
  <si>
    <t>1-8459-3187-4</t>
  </si>
  <si>
    <t>Climate Change and Crop Production</t>
  </si>
  <si>
    <t>1-7892-4341-6</t>
  </si>
  <si>
    <t>1-8459-3964-6</t>
  </si>
  <si>
    <t>978-1-8459-3849-9</t>
  </si>
  <si>
    <t>1-7863-9305-0</t>
  </si>
  <si>
    <t>978-1-8459-3739-3</t>
  </si>
  <si>
    <t>Phosphorus and Calcium Utilization and Requirements in Farm Animals</t>
  </si>
  <si>
    <t>1-7806-4388-8</t>
  </si>
  <si>
    <t>1-7892-4257-6</t>
  </si>
  <si>
    <t>Biological Control Programmes in Canada 2001-2012</t>
  </si>
  <si>
    <t>Farm Animal Metabolism and Nutrition</t>
  </si>
  <si>
    <t>Health and Natural Landscapes</t>
  </si>
  <si>
    <t>Fungi as Biocontrol Agents</t>
  </si>
  <si>
    <t>978-1-8459-3812-3</t>
  </si>
  <si>
    <t>Nutrient Digestion and Utilization in Farm Animals</t>
  </si>
  <si>
    <t>978-1-7806-4021-1</t>
  </si>
  <si>
    <t>1-7863-9159-7</t>
  </si>
  <si>
    <t>978-1-7806-4366-3</t>
  </si>
  <si>
    <t>1-8459-3983-2</t>
  </si>
  <si>
    <t>Integrated Pest Management in Tropical Regions</t>
  </si>
  <si>
    <t>978-1-8459-3122-3</t>
  </si>
  <si>
    <t>Ecologically based Integrated Pest Management</t>
  </si>
  <si>
    <t>Fasciolosis</t>
  </si>
  <si>
    <t>Consumer Acceptance of Genetically Modified Foods</t>
  </si>
  <si>
    <t>978-1-8459-3652-5</t>
  </si>
  <si>
    <t>978-1-7806-4633-6</t>
  </si>
  <si>
    <t>Parasites of Cattle and Sheep</t>
  </si>
  <si>
    <t>Rural Gender Relations</t>
  </si>
  <si>
    <t>1-7863-9144-9</t>
  </si>
  <si>
    <t>978-1-7892-4363-5</t>
  </si>
  <si>
    <t>978-1-8006-2146-6</t>
  </si>
  <si>
    <t>1-8459-3282-X</t>
  </si>
  <si>
    <t>978-1-7863-9389-0</t>
  </si>
  <si>
    <t>1-7806-4444-2</t>
  </si>
  <si>
    <t>Microbiological Methods for Assessing Soil Quality</t>
  </si>
  <si>
    <t>1-7863-9470-7</t>
  </si>
  <si>
    <t>1-7806-4093-5</t>
  </si>
  <si>
    <t>978-1-8459-3814-7</t>
  </si>
  <si>
    <t>0-8519-9013-4</t>
  </si>
  <si>
    <t>1-8459-3986-7</t>
  </si>
  <si>
    <t>978-1-8459-3683-9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</si>
</sst>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14" fontId="0" fillId="0" borderId="1" xfId="0" applyNumberFormat="1" applyBorder="1"/>
    <xf numFmtId="0" fontId="0" fillId="0" borderId="1" xfId="0" applyBorder="1"/>
    <xf numFmtId="0" fontId="1" fillId="0" borderId="1" xfId="1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0" fontId="0" fillId="0" borderId="8" xfId="0" applyBorder="1"/>
    <xf numFmtId="0" fontId="1" fillId="0" borderId="8" xfId="1" applyBorder="1"/>
    <xf numFmtId="0" fontId="0" fillId="0" borderId="9" xfId="0" applyBorder="1"/>
    <xf numFmtId="0" fontId="1" fillId="0" borderId="6" xfId="1" applyBorder="1"/>
    <xf numFmtId="0" fontId="1" fillId="0" borderId="9" xfId="1" applyBorder="1"/>
  </cellXfs>
  <cellStyles count="2">
    <cellStyle name="Hyperlink" xfId="1" builtinId="8"/>
    <cellStyle name="Normal" xfId="0" builtinId="0"/>
  </cellStyles>
  <dxfs count="1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m/d/yyyy"/>
    </dxf>
    <dxf>
      <numFmt numFmtId="164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1062" totalsRowShown="0" headerRowDxfId="18" headerRowBorderDxfId="17" tableBorderDxfId="16" totalsRowBorderDxfId="15" headerRowCellStyle="Normal">
  <autoFilter ref="A1:H1062" xr:uid="{00000000-0009-0000-0100-000001000000}"/>
  <tableColumns count="8">
    <tableColumn id="1" xr3:uid="{00000000-0010-0000-0000-000001000000}" name="Book Title" dataDxfId="14"/>
    <tableColumn id="2" xr3:uid="{00000000-0010-0000-0000-000002000000}" name="Beginning Date" dataDxfId="13" totalsRowDxfId="12" dataCellStyle="Normal" totalsRowCellStyle="Normal"/>
    <tableColumn id="3" xr3:uid="{00000000-0010-0000-0000-000003000000}" name="ISBN-13" dataDxfId="11"/>
    <tableColumn id="4" xr3:uid="{00000000-0010-0000-0000-000004000000}" name="ISBN-10" dataDxfId="10"/>
    <tableColumn id="5" xr3:uid="{00000000-0010-0000-0000-000005000000}" name="Publisher" dataDxfId="9"/>
    <tableColumn id="6" xr3:uid="{00000000-0010-0000-0000-000006000000}" name="Edition" dataDxfId="8"/>
    <tableColumn id="7" xr3:uid="{00000000-0010-0000-0000-000007000000}" name="Jumpstart" dataDxfId="7" dataCellStyle="Hyperlink" totalsRowCellStyle="Hyperlink"/>
    <tableColumn id="8" xr3:uid="{00000000-0010-0000-0000-000008000000}" name="Offered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B4" totalsRowShown="0" headerRowDxfId="5" headerRowBorderDxfId="4" tableBorderDxfId="3" totalsRowBorderDxfId="2" headerRowCellStyle="Normal">
  <autoFilter ref="A1:B4" xr:uid="{00000000-0009-0000-0100-000004000000}"/>
  <tableColumns count="2">
    <tableColumn id="1" xr3:uid="{00000000-0010-0000-0300-000001000000}" name="Title" dataDxfId="1"/>
    <tableColumn id="2" xr3:uid="{00000000-0010-0000-0300-000002000000}" name="Jumpstart" dataDxfId="0" dataCellStyle="Hyperlink" totalsRow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062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102.109375" bestFit="1" customWidth="1"/>
    <col min="2" max="2" width="16.88671875" bestFit="1" customWidth="1"/>
    <col min="3" max="3" width="17" bestFit="1" customWidth="1"/>
    <col min="4" max="4" width="13.44140625" bestFit="1" customWidth="1"/>
    <col min="5" max="5" width="15" bestFit="1" customWidth="1"/>
    <col min="6" max="6" width="12.109375" bestFit="1" customWidth="1"/>
    <col min="7" max="7" width="102.109375" bestFit="1" customWidth="1"/>
    <col min="8" max="8" width="12.88671875" bestFit="1" customWidth="1"/>
  </cols>
  <sheetData>
    <row r="1" spans="1:8" x14ac:dyDescent="0.3">
      <c r="A1" s="1" t="s">
        <v>435</v>
      </c>
      <c r="B1" s="2" t="s">
        <v>1020</v>
      </c>
      <c r="C1" s="2" t="s">
        <v>2550</v>
      </c>
      <c r="D1" s="2" t="s">
        <v>2166</v>
      </c>
      <c r="E1" s="2" t="s">
        <v>1801</v>
      </c>
      <c r="F1" s="2" t="s">
        <v>888</v>
      </c>
      <c r="G1" s="2" t="s">
        <v>2202</v>
      </c>
      <c r="H1" s="3" t="s">
        <v>1349</v>
      </c>
    </row>
    <row r="2" spans="1:8" x14ac:dyDescent="0.3">
      <c r="A2" s="4" t="s">
        <v>2261</v>
      </c>
      <c r="B2" s="5">
        <v>44893</v>
      </c>
      <c r="C2" s="6" t="s">
        <v>649</v>
      </c>
      <c r="D2" s="6" t="s">
        <v>1160</v>
      </c>
      <c r="E2" s="6" t="s">
        <v>2503</v>
      </c>
      <c r="F2" s="6" t="s">
        <v>1208</v>
      </c>
      <c r="G2" s="7" t="str">
        <f>HYPERLINK("https://ovidsp.ovid.com/ovidweb.cgi?T=JS&amp;NEWS=n&amp;CSC=Y&amp;PAGE=booktext&amp;D=books&amp;SC=01436937&amp;EPUB=Y","https://ovidsp.ovid.com/ovidweb.cgi?T=JS&amp;NEWS=n&amp;CSC=Y&amp;PAGE=booktext&amp;D=books&amp;SC=01436937&amp;EPUB=Y")</f>
        <v>https://ovidsp.ovid.com/ovidweb.cgi?T=JS&amp;NEWS=n&amp;CSC=Y&amp;PAGE=booktext&amp;D=books&amp;SC=01436937&amp;EPUB=Y</v>
      </c>
      <c r="H2" s="8" t="s">
        <v>1795</v>
      </c>
    </row>
    <row r="3" spans="1:8" x14ac:dyDescent="0.3">
      <c r="A3" s="4" t="s">
        <v>655</v>
      </c>
      <c r="B3" s="5">
        <v>44893</v>
      </c>
      <c r="C3" s="6" t="s">
        <v>1471</v>
      </c>
      <c r="D3" s="6" t="s">
        <v>412</v>
      </c>
      <c r="E3" s="6" t="s">
        <v>2503</v>
      </c>
      <c r="F3" s="6" t="s">
        <v>1208</v>
      </c>
      <c r="G3" s="7" t="str">
        <f>HYPERLINK("https://ovidsp.ovid.com/ovidweb.cgi?T=JS&amp;NEWS=n&amp;CSC=Y&amp;PAGE=booktext&amp;D=books&amp;SC=01884418&amp;EPUB=Y","https://ovidsp.ovid.com/ovidweb.cgi?T=JS&amp;NEWS=n&amp;CSC=Y&amp;PAGE=booktext&amp;D=books&amp;SC=01884418&amp;EPUB=Y")</f>
        <v>https://ovidsp.ovid.com/ovidweb.cgi?T=JS&amp;NEWS=n&amp;CSC=Y&amp;PAGE=booktext&amp;D=books&amp;SC=01884418&amp;EPUB=Y</v>
      </c>
      <c r="H3" s="8" t="s">
        <v>1795</v>
      </c>
    </row>
    <row r="4" spans="1:8" x14ac:dyDescent="0.3">
      <c r="A4" s="4" t="s">
        <v>2383</v>
      </c>
      <c r="B4" s="5">
        <v>44893</v>
      </c>
      <c r="C4" s="6" t="s">
        <v>95</v>
      </c>
      <c r="D4" s="6" t="s">
        <v>488</v>
      </c>
      <c r="E4" s="6" t="s">
        <v>2503</v>
      </c>
      <c r="F4" s="6" t="s">
        <v>1208</v>
      </c>
      <c r="G4" s="7" t="str">
        <f>HYPERLINK("https://ovidsp.ovid.com/ovidweb.cgi?T=JS&amp;NEWS=n&amp;CSC=Y&amp;PAGE=booktext&amp;D=books&amp;SC=02273490&amp;EPUB=Y","https://ovidsp.ovid.com/ovidweb.cgi?T=JS&amp;NEWS=n&amp;CSC=Y&amp;PAGE=booktext&amp;D=books&amp;SC=02273490&amp;EPUB=Y")</f>
        <v>https://ovidsp.ovid.com/ovidweb.cgi?T=JS&amp;NEWS=n&amp;CSC=Y&amp;PAGE=booktext&amp;D=books&amp;SC=02273490&amp;EPUB=Y</v>
      </c>
      <c r="H4" s="8" t="s">
        <v>1795</v>
      </c>
    </row>
    <row r="5" spans="1:8" x14ac:dyDescent="0.3">
      <c r="A5" s="4" t="s">
        <v>1698</v>
      </c>
      <c r="B5" s="5">
        <v>44893</v>
      </c>
      <c r="C5" s="6" t="s">
        <v>1336</v>
      </c>
      <c r="D5" s="6" t="s">
        <v>2140</v>
      </c>
      <c r="E5" s="6" t="s">
        <v>2503</v>
      </c>
      <c r="F5" s="6" t="s">
        <v>1208</v>
      </c>
      <c r="G5" s="7" t="str">
        <f>HYPERLINK("https://ovidsp.ovid.com/ovidweb.cgi?T=JS&amp;NEWS=n&amp;CSC=Y&amp;PAGE=booktext&amp;D=books&amp;SC=02050050&amp;EPUB=Y","https://ovidsp.ovid.com/ovidweb.cgi?T=JS&amp;NEWS=n&amp;CSC=Y&amp;PAGE=booktext&amp;D=books&amp;SC=02050050&amp;EPUB=Y")</f>
        <v>https://ovidsp.ovid.com/ovidweb.cgi?T=JS&amp;NEWS=n&amp;CSC=Y&amp;PAGE=booktext&amp;D=books&amp;SC=02050050&amp;EPUB=Y</v>
      </c>
      <c r="H5" s="8" t="s">
        <v>1795</v>
      </c>
    </row>
    <row r="6" spans="1:8" x14ac:dyDescent="0.3">
      <c r="A6" s="4" t="s">
        <v>1892</v>
      </c>
      <c r="B6" s="5">
        <v>44893</v>
      </c>
      <c r="C6" s="6" t="s">
        <v>2593</v>
      </c>
      <c r="D6" s="6" t="s">
        <v>2343</v>
      </c>
      <c r="E6" s="6" t="s">
        <v>2503</v>
      </c>
      <c r="F6" s="6" t="s">
        <v>1208</v>
      </c>
      <c r="G6" s="7" t="str">
        <f>HYPERLINK("https://ovidsp.ovid.com/ovidweb.cgi?T=JS&amp;NEWS=n&amp;CSC=Y&amp;PAGE=booktext&amp;D=books&amp;SC=01436935&amp;EPUB=Y","https://ovidsp.ovid.com/ovidweb.cgi?T=JS&amp;NEWS=n&amp;CSC=Y&amp;PAGE=booktext&amp;D=books&amp;SC=01436935&amp;EPUB=Y")</f>
        <v>https://ovidsp.ovid.com/ovidweb.cgi?T=JS&amp;NEWS=n&amp;CSC=Y&amp;PAGE=booktext&amp;D=books&amp;SC=01436935&amp;EPUB=Y</v>
      </c>
      <c r="H6" s="8" t="s">
        <v>1795</v>
      </c>
    </row>
    <row r="7" spans="1:8" x14ac:dyDescent="0.3">
      <c r="A7" s="4" t="s">
        <v>2431</v>
      </c>
      <c r="B7" s="5">
        <v>44893</v>
      </c>
      <c r="C7" s="6" t="s">
        <v>2367</v>
      </c>
      <c r="D7" s="6" t="s">
        <v>1643</v>
      </c>
      <c r="E7" s="6" t="s">
        <v>2503</v>
      </c>
      <c r="F7" s="6" t="s">
        <v>1208</v>
      </c>
      <c r="G7" s="7" t="str">
        <f>HYPERLINK("https://ovidsp.ovid.com/ovidweb.cgi?T=JS&amp;NEWS=n&amp;CSC=Y&amp;PAGE=booktext&amp;D=books&amp;SC=01434495&amp;EPUB=Y","https://ovidsp.ovid.com/ovidweb.cgi?T=JS&amp;NEWS=n&amp;CSC=Y&amp;PAGE=booktext&amp;D=books&amp;SC=01434495&amp;EPUB=Y")</f>
        <v>https://ovidsp.ovid.com/ovidweb.cgi?T=JS&amp;NEWS=n&amp;CSC=Y&amp;PAGE=booktext&amp;D=books&amp;SC=01434495&amp;EPUB=Y</v>
      </c>
      <c r="H7" s="8" t="s">
        <v>1795</v>
      </c>
    </row>
    <row r="8" spans="1:8" x14ac:dyDescent="0.3">
      <c r="A8" s="4" t="s">
        <v>134</v>
      </c>
      <c r="B8" s="5">
        <v>44893</v>
      </c>
      <c r="C8" s="6" t="s">
        <v>1287</v>
      </c>
      <c r="D8" s="6" t="s">
        <v>761</v>
      </c>
      <c r="E8" s="6" t="s">
        <v>2503</v>
      </c>
      <c r="F8" s="6" t="s">
        <v>1208</v>
      </c>
      <c r="G8" s="7" t="str">
        <f>HYPERLINK("https://ovidsp.ovid.com/ovidweb.cgi?T=JS&amp;NEWS=n&amp;CSC=Y&amp;PAGE=booktext&amp;D=books&amp;SC=01518814&amp;EPUB=Y","https://ovidsp.ovid.com/ovidweb.cgi?T=JS&amp;NEWS=n&amp;CSC=Y&amp;PAGE=booktext&amp;D=books&amp;SC=01518814&amp;EPUB=Y")</f>
        <v>https://ovidsp.ovid.com/ovidweb.cgi?T=JS&amp;NEWS=n&amp;CSC=Y&amp;PAGE=booktext&amp;D=books&amp;SC=01518814&amp;EPUB=Y</v>
      </c>
      <c r="H8" s="8" t="s">
        <v>1795</v>
      </c>
    </row>
    <row r="9" spans="1:8" x14ac:dyDescent="0.3">
      <c r="A9" s="4" t="s">
        <v>905</v>
      </c>
      <c r="B9" s="5">
        <v>44893</v>
      </c>
      <c r="C9" s="6" t="s">
        <v>1831</v>
      </c>
      <c r="D9" s="6" t="s">
        <v>1545</v>
      </c>
      <c r="E9" s="6" t="s">
        <v>2503</v>
      </c>
      <c r="F9" s="6" t="s">
        <v>1208</v>
      </c>
      <c r="G9" s="7" t="str">
        <f>HYPERLINK("https://ovidsp.ovid.com/ovidweb.cgi?T=JS&amp;NEWS=n&amp;CSC=Y&amp;PAGE=booktext&amp;D=books&amp;SC=01439435&amp;EPUB=Y","https://ovidsp.ovid.com/ovidweb.cgi?T=JS&amp;NEWS=n&amp;CSC=Y&amp;PAGE=booktext&amp;D=books&amp;SC=01439435&amp;EPUB=Y")</f>
        <v>https://ovidsp.ovid.com/ovidweb.cgi?T=JS&amp;NEWS=n&amp;CSC=Y&amp;PAGE=booktext&amp;D=books&amp;SC=01439435&amp;EPUB=Y</v>
      </c>
      <c r="H9" s="8" t="s">
        <v>1795</v>
      </c>
    </row>
    <row r="10" spans="1:8" x14ac:dyDescent="0.3">
      <c r="A10" s="4" t="s">
        <v>1465</v>
      </c>
      <c r="B10" s="5">
        <v>44893</v>
      </c>
      <c r="C10" s="6" t="s">
        <v>1967</v>
      </c>
      <c r="D10" s="6" t="s">
        <v>870</v>
      </c>
      <c r="E10" s="6" t="s">
        <v>2503</v>
      </c>
      <c r="F10" s="6" t="s">
        <v>1208</v>
      </c>
      <c r="G10" s="7" t="str">
        <f>HYPERLINK("https://ovidsp.ovid.com/ovidweb.cgi?T=JS&amp;NEWS=n&amp;CSC=Y&amp;PAGE=booktext&amp;D=books&amp;SC=01437480&amp;EPUB=Y","https://ovidsp.ovid.com/ovidweb.cgi?T=JS&amp;NEWS=n&amp;CSC=Y&amp;PAGE=booktext&amp;D=books&amp;SC=01437480&amp;EPUB=Y")</f>
        <v>https://ovidsp.ovid.com/ovidweb.cgi?T=JS&amp;NEWS=n&amp;CSC=Y&amp;PAGE=booktext&amp;D=books&amp;SC=01437480&amp;EPUB=Y</v>
      </c>
      <c r="H10" s="8" t="s">
        <v>1795</v>
      </c>
    </row>
    <row r="11" spans="1:8" x14ac:dyDescent="0.3">
      <c r="A11" s="4" t="s">
        <v>570</v>
      </c>
      <c r="B11" s="5">
        <v>44893</v>
      </c>
      <c r="C11" s="6" t="s">
        <v>2367</v>
      </c>
      <c r="D11" s="6" t="s">
        <v>1643</v>
      </c>
      <c r="E11" s="6" t="s">
        <v>2503</v>
      </c>
      <c r="F11" s="6" t="s">
        <v>1208</v>
      </c>
      <c r="G11" s="7" t="str">
        <f>HYPERLINK("https://ovidsp.ovid.com/ovidweb.cgi?T=JS&amp;NEWS=n&amp;CSC=Y&amp;PAGE=booktext&amp;D=books&amp;SC=01439437&amp;EPUB=Y","https://ovidsp.ovid.com/ovidweb.cgi?T=JS&amp;NEWS=n&amp;CSC=Y&amp;PAGE=booktext&amp;D=books&amp;SC=01439437&amp;EPUB=Y")</f>
        <v>https://ovidsp.ovid.com/ovidweb.cgi?T=JS&amp;NEWS=n&amp;CSC=Y&amp;PAGE=booktext&amp;D=books&amp;SC=01439437&amp;EPUB=Y</v>
      </c>
      <c r="H11" s="8" t="s">
        <v>1795</v>
      </c>
    </row>
    <row r="12" spans="1:8" x14ac:dyDescent="0.3">
      <c r="A12" s="4" t="s">
        <v>1455</v>
      </c>
      <c r="B12" s="5">
        <v>44893</v>
      </c>
      <c r="C12" s="6" t="s">
        <v>2009</v>
      </c>
      <c r="D12" s="6" t="s">
        <v>1970</v>
      </c>
      <c r="E12" s="6" t="s">
        <v>2503</v>
      </c>
      <c r="F12" s="6" t="s">
        <v>1208</v>
      </c>
      <c r="G12" s="7" t="str">
        <f>HYPERLINK("https://ovidsp.ovid.com/ovidweb.cgi?T=JS&amp;NEWS=n&amp;CSC=Y&amp;PAGE=booktext&amp;D=books&amp;SC=01434582&amp;EPUB=Y","https://ovidsp.ovid.com/ovidweb.cgi?T=JS&amp;NEWS=n&amp;CSC=Y&amp;PAGE=booktext&amp;D=books&amp;SC=01434582&amp;EPUB=Y")</f>
        <v>https://ovidsp.ovid.com/ovidweb.cgi?T=JS&amp;NEWS=n&amp;CSC=Y&amp;PAGE=booktext&amp;D=books&amp;SC=01434582&amp;EPUB=Y</v>
      </c>
      <c r="H12" s="8" t="s">
        <v>1795</v>
      </c>
    </row>
    <row r="13" spans="1:8" x14ac:dyDescent="0.3">
      <c r="A13" s="4" t="s">
        <v>1588</v>
      </c>
      <c r="B13" s="5">
        <v>44893</v>
      </c>
      <c r="C13" s="6" t="s">
        <v>1828</v>
      </c>
      <c r="D13" s="6" t="s">
        <v>170</v>
      </c>
      <c r="E13" s="6" t="s">
        <v>2503</v>
      </c>
      <c r="F13" s="6" t="s">
        <v>1208</v>
      </c>
      <c r="G13" s="7" t="str">
        <f>HYPERLINK("https://ovidsp.ovid.com/ovidweb.cgi?T=JS&amp;NEWS=n&amp;CSC=Y&amp;PAGE=booktext&amp;D=books&amp;SC=01434379&amp;EPUB=Y","https://ovidsp.ovid.com/ovidweb.cgi?T=JS&amp;NEWS=n&amp;CSC=Y&amp;PAGE=booktext&amp;D=books&amp;SC=01434379&amp;EPUB=Y")</f>
        <v>https://ovidsp.ovid.com/ovidweb.cgi?T=JS&amp;NEWS=n&amp;CSC=Y&amp;PAGE=booktext&amp;D=books&amp;SC=01434379&amp;EPUB=Y</v>
      </c>
      <c r="H13" s="8" t="s">
        <v>1795</v>
      </c>
    </row>
    <row r="14" spans="1:8" x14ac:dyDescent="0.3">
      <c r="A14" s="4" t="s">
        <v>609</v>
      </c>
      <c r="B14" s="5">
        <v>44893</v>
      </c>
      <c r="C14" s="6" t="s">
        <v>2367</v>
      </c>
      <c r="D14" s="6" t="s">
        <v>1643</v>
      </c>
      <c r="E14" s="6" t="s">
        <v>2503</v>
      </c>
      <c r="F14" s="6" t="s">
        <v>1208</v>
      </c>
      <c r="G14" s="7" t="str">
        <f>HYPERLINK("https://ovidsp.ovid.com/ovidweb.cgi?T=JS&amp;NEWS=n&amp;CSC=Y&amp;PAGE=booktext&amp;D=books&amp;SC=01434574&amp;EPUB=Y","https://ovidsp.ovid.com/ovidweb.cgi?T=JS&amp;NEWS=n&amp;CSC=Y&amp;PAGE=booktext&amp;D=books&amp;SC=01434574&amp;EPUB=Y")</f>
        <v>https://ovidsp.ovid.com/ovidweb.cgi?T=JS&amp;NEWS=n&amp;CSC=Y&amp;PAGE=booktext&amp;D=books&amp;SC=01434574&amp;EPUB=Y</v>
      </c>
      <c r="H14" s="8" t="s">
        <v>1795</v>
      </c>
    </row>
    <row r="15" spans="1:8" x14ac:dyDescent="0.3">
      <c r="A15" s="4" t="s">
        <v>1328</v>
      </c>
      <c r="B15" s="5">
        <v>44893</v>
      </c>
      <c r="C15" s="6" t="s">
        <v>2238</v>
      </c>
      <c r="D15" s="6" t="s">
        <v>369</v>
      </c>
      <c r="E15" s="6" t="s">
        <v>2503</v>
      </c>
      <c r="F15" s="6" t="s">
        <v>1208</v>
      </c>
      <c r="G15" s="7" t="str">
        <f>HYPERLINK("https://ovidsp.ovid.com/ovidweb.cgi?T=JS&amp;NEWS=n&amp;CSC=Y&amp;PAGE=booktext&amp;D=books&amp;SC=01745963&amp;EPUB=Y","https://ovidsp.ovid.com/ovidweb.cgi?T=JS&amp;NEWS=n&amp;CSC=Y&amp;PAGE=booktext&amp;D=books&amp;SC=01745963&amp;EPUB=Y")</f>
        <v>https://ovidsp.ovid.com/ovidweb.cgi?T=JS&amp;NEWS=n&amp;CSC=Y&amp;PAGE=booktext&amp;D=books&amp;SC=01745963&amp;EPUB=Y</v>
      </c>
      <c r="H15" s="8" t="s">
        <v>1795</v>
      </c>
    </row>
    <row r="16" spans="1:8" x14ac:dyDescent="0.3">
      <c r="A16" s="4" t="s">
        <v>1948</v>
      </c>
      <c r="B16" s="5">
        <v>44893</v>
      </c>
      <c r="C16" s="6" t="s">
        <v>2367</v>
      </c>
      <c r="D16" s="6" t="s">
        <v>1643</v>
      </c>
      <c r="E16" s="6" t="s">
        <v>2503</v>
      </c>
      <c r="F16" s="6" t="s">
        <v>1208</v>
      </c>
      <c r="G16" s="7" t="str">
        <f>HYPERLINK("https://ovidsp.ovid.com/ovidweb.cgi?T=JS&amp;NEWS=n&amp;CSC=Y&amp;PAGE=booktext&amp;D=books&amp;SC=01434380&amp;EPUB=Y","https://ovidsp.ovid.com/ovidweb.cgi?T=JS&amp;NEWS=n&amp;CSC=Y&amp;PAGE=booktext&amp;D=books&amp;SC=01434380&amp;EPUB=Y")</f>
        <v>https://ovidsp.ovid.com/ovidweb.cgi?T=JS&amp;NEWS=n&amp;CSC=Y&amp;PAGE=booktext&amp;D=books&amp;SC=01434380&amp;EPUB=Y</v>
      </c>
      <c r="H16" s="8" t="s">
        <v>1795</v>
      </c>
    </row>
    <row r="17" spans="1:8" x14ac:dyDescent="0.3">
      <c r="A17" s="4" t="s">
        <v>704</v>
      </c>
      <c r="B17" s="5">
        <v>44893</v>
      </c>
      <c r="C17" s="6" t="s">
        <v>218</v>
      </c>
      <c r="D17" s="6" t="s">
        <v>51</v>
      </c>
      <c r="E17" s="6" t="s">
        <v>2503</v>
      </c>
      <c r="F17" s="6" t="s">
        <v>1208</v>
      </c>
      <c r="G17" s="7" t="str">
        <f>HYPERLINK("https://ovidsp.ovid.com/ovidweb.cgi?T=JS&amp;NEWS=n&amp;CSC=Y&amp;PAGE=booktext&amp;D=books&amp;SC=01607927&amp;EPUB=Y","https://ovidsp.ovid.com/ovidweb.cgi?T=JS&amp;NEWS=n&amp;CSC=Y&amp;PAGE=booktext&amp;D=books&amp;SC=01607927&amp;EPUB=Y")</f>
        <v>https://ovidsp.ovid.com/ovidweb.cgi?T=JS&amp;NEWS=n&amp;CSC=Y&amp;PAGE=booktext&amp;D=books&amp;SC=01607927&amp;EPUB=Y</v>
      </c>
      <c r="H17" s="8" t="s">
        <v>1795</v>
      </c>
    </row>
    <row r="18" spans="1:8" x14ac:dyDescent="0.3">
      <c r="A18" s="4" t="s">
        <v>1680</v>
      </c>
      <c r="B18" s="5">
        <v>44893</v>
      </c>
      <c r="C18" s="6" t="s">
        <v>2367</v>
      </c>
      <c r="D18" s="6" t="s">
        <v>1643</v>
      </c>
      <c r="E18" s="6" t="s">
        <v>2503</v>
      </c>
      <c r="F18" s="6" t="s">
        <v>1208</v>
      </c>
      <c r="G18" s="7" t="str">
        <f>HYPERLINK("https://ovidsp.ovid.com/ovidweb.cgi?T=JS&amp;NEWS=n&amp;CSC=Y&amp;PAGE=booktext&amp;D=books&amp;SC=01434275&amp;EPUB=Y","https://ovidsp.ovid.com/ovidweb.cgi?T=JS&amp;NEWS=n&amp;CSC=Y&amp;PAGE=booktext&amp;D=books&amp;SC=01434275&amp;EPUB=Y")</f>
        <v>https://ovidsp.ovid.com/ovidweb.cgi?T=JS&amp;NEWS=n&amp;CSC=Y&amp;PAGE=booktext&amp;D=books&amp;SC=01434275&amp;EPUB=Y</v>
      </c>
      <c r="H18" s="8" t="s">
        <v>1795</v>
      </c>
    </row>
    <row r="19" spans="1:8" x14ac:dyDescent="0.3">
      <c r="A19" s="4" t="s">
        <v>1766</v>
      </c>
      <c r="B19" s="5">
        <v>44893</v>
      </c>
      <c r="C19" s="6" t="s">
        <v>2367</v>
      </c>
      <c r="D19" s="6" t="s">
        <v>1643</v>
      </c>
      <c r="E19" s="6" t="s">
        <v>2503</v>
      </c>
      <c r="F19" s="6" t="s">
        <v>1208</v>
      </c>
      <c r="G19" s="7" t="str">
        <f>HYPERLINK("https://ovidsp.ovid.com/ovidweb.cgi?T=JS&amp;NEWS=n&amp;CSC=Y&amp;PAGE=booktext&amp;D=books&amp;SC=01434269&amp;EPUB=Y","https://ovidsp.ovid.com/ovidweb.cgi?T=JS&amp;NEWS=n&amp;CSC=Y&amp;PAGE=booktext&amp;D=books&amp;SC=01434269&amp;EPUB=Y")</f>
        <v>https://ovidsp.ovid.com/ovidweb.cgi?T=JS&amp;NEWS=n&amp;CSC=Y&amp;PAGE=booktext&amp;D=books&amp;SC=01434269&amp;EPUB=Y</v>
      </c>
      <c r="H19" s="8" t="s">
        <v>1795</v>
      </c>
    </row>
    <row r="20" spans="1:8" x14ac:dyDescent="0.3">
      <c r="A20" s="4" t="s">
        <v>2497</v>
      </c>
      <c r="B20" s="5">
        <v>44893</v>
      </c>
      <c r="C20" s="6" t="s">
        <v>2367</v>
      </c>
      <c r="D20" s="6" t="s">
        <v>1643</v>
      </c>
      <c r="E20" s="6" t="s">
        <v>2503</v>
      </c>
      <c r="F20" s="6" t="s">
        <v>1208</v>
      </c>
      <c r="G20" s="7" t="str">
        <f>HYPERLINK("https://ovidsp.ovid.com/ovidweb.cgi?T=JS&amp;NEWS=n&amp;CSC=Y&amp;PAGE=booktext&amp;D=books&amp;SC=01434339&amp;EPUB=Y","https://ovidsp.ovid.com/ovidweb.cgi?T=JS&amp;NEWS=n&amp;CSC=Y&amp;PAGE=booktext&amp;D=books&amp;SC=01434339&amp;EPUB=Y")</f>
        <v>https://ovidsp.ovid.com/ovidweb.cgi?T=JS&amp;NEWS=n&amp;CSC=Y&amp;PAGE=booktext&amp;D=books&amp;SC=01434339&amp;EPUB=Y</v>
      </c>
      <c r="H20" s="8" t="s">
        <v>1795</v>
      </c>
    </row>
    <row r="21" spans="1:8" x14ac:dyDescent="0.3">
      <c r="A21" s="4" t="s">
        <v>739</v>
      </c>
      <c r="B21" s="5">
        <v>44893</v>
      </c>
      <c r="C21" s="6" t="s">
        <v>2367</v>
      </c>
      <c r="D21" s="6" t="s">
        <v>1643</v>
      </c>
      <c r="E21" s="6" t="s">
        <v>2503</v>
      </c>
      <c r="F21" s="6" t="s">
        <v>1208</v>
      </c>
      <c r="G21" s="7" t="str">
        <f>HYPERLINK("https://ovidsp.ovid.com/ovidweb.cgi?T=JS&amp;NEWS=n&amp;CSC=Y&amp;PAGE=booktext&amp;D=books&amp;SC=01434312&amp;EPUB=Y","https://ovidsp.ovid.com/ovidweb.cgi?T=JS&amp;NEWS=n&amp;CSC=Y&amp;PAGE=booktext&amp;D=books&amp;SC=01434312&amp;EPUB=Y")</f>
        <v>https://ovidsp.ovid.com/ovidweb.cgi?T=JS&amp;NEWS=n&amp;CSC=Y&amp;PAGE=booktext&amp;D=books&amp;SC=01434312&amp;EPUB=Y</v>
      </c>
      <c r="H21" s="8" t="s">
        <v>1795</v>
      </c>
    </row>
    <row r="22" spans="1:8" x14ac:dyDescent="0.3">
      <c r="A22" s="4" t="s">
        <v>208</v>
      </c>
      <c r="B22" s="5">
        <v>44893</v>
      </c>
      <c r="C22" s="6" t="s">
        <v>711</v>
      </c>
      <c r="D22" s="6" t="s">
        <v>1650</v>
      </c>
      <c r="E22" s="6" t="s">
        <v>2503</v>
      </c>
      <c r="F22" s="6" t="s">
        <v>1208</v>
      </c>
      <c r="G22" s="7" t="str">
        <f>HYPERLINK("https://ovidsp.ovid.com/ovidweb.cgi?T=JS&amp;NEWS=n&amp;CSC=Y&amp;PAGE=booktext&amp;D=books&amp;SC=01731088&amp;EPUB=Y","https://ovidsp.ovid.com/ovidweb.cgi?T=JS&amp;NEWS=n&amp;CSC=Y&amp;PAGE=booktext&amp;D=books&amp;SC=01731088&amp;EPUB=Y")</f>
        <v>https://ovidsp.ovid.com/ovidweb.cgi?T=JS&amp;NEWS=n&amp;CSC=Y&amp;PAGE=booktext&amp;D=books&amp;SC=01731088&amp;EPUB=Y</v>
      </c>
      <c r="H22" s="8" t="s">
        <v>1795</v>
      </c>
    </row>
    <row r="23" spans="1:8" x14ac:dyDescent="0.3">
      <c r="A23" s="4" t="s">
        <v>2522</v>
      </c>
      <c r="B23" s="5">
        <v>44893</v>
      </c>
      <c r="C23" s="6" t="s">
        <v>2084</v>
      </c>
      <c r="D23" s="6" t="s">
        <v>889</v>
      </c>
      <c r="E23" s="6" t="s">
        <v>2503</v>
      </c>
      <c r="F23" s="6" t="s">
        <v>1208</v>
      </c>
      <c r="G23" s="7" t="str">
        <f>HYPERLINK("https://ovidsp.ovid.com/ovidweb.cgi?T=JS&amp;NEWS=n&amp;CSC=Y&amp;PAGE=booktext&amp;D=books&amp;SC=01434833&amp;EPUB=Y","https://ovidsp.ovid.com/ovidweb.cgi?T=JS&amp;NEWS=n&amp;CSC=Y&amp;PAGE=booktext&amp;D=books&amp;SC=01434833&amp;EPUB=Y")</f>
        <v>https://ovidsp.ovid.com/ovidweb.cgi?T=JS&amp;NEWS=n&amp;CSC=Y&amp;PAGE=booktext&amp;D=books&amp;SC=01434833&amp;EPUB=Y</v>
      </c>
      <c r="H23" s="8" t="s">
        <v>1795</v>
      </c>
    </row>
    <row r="24" spans="1:8" x14ac:dyDescent="0.3">
      <c r="A24" s="4" t="s">
        <v>2399</v>
      </c>
      <c r="B24" s="5">
        <v>44893</v>
      </c>
      <c r="C24" s="6" t="s">
        <v>1403</v>
      </c>
      <c r="D24" s="6" t="s">
        <v>362</v>
      </c>
      <c r="E24" s="6" t="s">
        <v>2503</v>
      </c>
      <c r="F24" s="6" t="s">
        <v>1208</v>
      </c>
      <c r="G24" s="7" t="str">
        <f>HYPERLINK("https://ovidsp.ovid.com/ovidweb.cgi?T=JS&amp;NEWS=n&amp;CSC=Y&amp;PAGE=booktext&amp;D=books&amp;SC=01626540&amp;EPUB=Y","https://ovidsp.ovid.com/ovidweb.cgi?T=JS&amp;NEWS=n&amp;CSC=Y&amp;PAGE=booktext&amp;D=books&amp;SC=01626540&amp;EPUB=Y")</f>
        <v>https://ovidsp.ovid.com/ovidweb.cgi?T=JS&amp;NEWS=n&amp;CSC=Y&amp;PAGE=booktext&amp;D=books&amp;SC=01626540&amp;EPUB=Y</v>
      </c>
      <c r="H24" s="8" t="s">
        <v>1795</v>
      </c>
    </row>
    <row r="25" spans="1:8" x14ac:dyDescent="0.3">
      <c r="A25" s="4" t="s">
        <v>1978</v>
      </c>
      <c r="B25" s="5">
        <v>44893</v>
      </c>
      <c r="C25" s="6" t="s">
        <v>1756</v>
      </c>
      <c r="D25" s="6" t="s">
        <v>984</v>
      </c>
      <c r="E25" s="6" t="s">
        <v>2503</v>
      </c>
      <c r="F25" s="6" t="s">
        <v>1208</v>
      </c>
      <c r="G25" s="7" t="str">
        <f>HYPERLINK("https://ovidsp.ovid.com/ovidweb.cgi?T=JS&amp;NEWS=n&amp;CSC=Y&amp;PAGE=booktext&amp;D=books&amp;SC=01515469&amp;EPUB=Y","https://ovidsp.ovid.com/ovidweb.cgi?T=JS&amp;NEWS=n&amp;CSC=Y&amp;PAGE=booktext&amp;D=books&amp;SC=01515469&amp;EPUB=Y")</f>
        <v>https://ovidsp.ovid.com/ovidweb.cgi?T=JS&amp;NEWS=n&amp;CSC=Y&amp;PAGE=booktext&amp;D=books&amp;SC=01515469&amp;EPUB=Y</v>
      </c>
      <c r="H25" s="8" t="s">
        <v>1795</v>
      </c>
    </row>
    <row r="26" spans="1:8" x14ac:dyDescent="0.3">
      <c r="A26" s="4" t="s">
        <v>1976</v>
      </c>
      <c r="B26" s="5">
        <v>44893</v>
      </c>
      <c r="C26" s="6" t="s">
        <v>2605</v>
      </c>
      <c r="D26" s="6" t="s">
        <v>2010</v>
      </c>
      <c r="E26" s="6" t="s">
        <v>2503</v>
      </c>
      <c r="F26" s="6" t="s">
        <v>1208</v>
      </c>
      <c r="G26" s="7" t="str">
        <f>HYPERLINK("https://ovidsp.ovid.com/ovidweb.cgi?T=JS&amp;NEWS=n&amp;CSC=Y&amp;PAGE=booktext&amp;D=books&amp;SC=02134350&amp;EPUB=Y","https://ovidsp.ovid.com/ovidweb.cgi?T=JS&amp;NEWS=n&amp;CSC=Y&amp;PAGE=booktext&amp;D=books&amp;SC=02134350&amp;EPUB=Y")</f>
        <v>https://ovidsp.ovid.com/ovidweb.cgi?T=JS&amp;NEWS=n&amp;CSC=Y&amp;PAGE=booktext&amp;D=books&amp;SC=02134350&amp;EPUB=Y</v>
      </c>
      <c r="H26" s="8" t="s">
        <v>1795</v>
      </c>
    </row>
    <row r="27" spans="1:8" x14ac:dyDescent="0.3">
      <c r="A27" s="4" t="s">
        <v>2555</v>
      </c>
      <c r="B27" s="5">
        <v>44893</v>
      </c>
      <c r="C27" s="6" t="s">
        <v>2367</v>
      </c>
      <c r="D27" s="6" t="s">
        <v>1643</v>
      </c>
      <c r="E27" s="6" t="s">
        <v>2503</v>
      </c>
      <c r="F27" s="6" t="s">
        <v>1208</v>
      </c>
      <c r="G27" s="7" t="str">
        <f>HYPERLINK("https://ovidsp.ovid.com/ovidweb.cgi?T=JS&amp;NEWS=n&amp;CSC=Y&amp;PAGE=booktext&amp;D=books&amp;SC=01434236&amp;EPUB=Y","https://ovidsp.ovid.com/ovidweb.cgi?T=JS&amp;NEWS=n&amp;CSC=Y&amp;PAGE=booktext&amp;D=books&amp;SC=01434236&amp;EPUB=Y")</f>
        <v>https://ovidsp.ovid.com/ovidweb.cgi?T=JS&amp;NEWS=n&amp;CSC=Y&amp;PAGE=booktext&amp;D=books&amp;SC=01434236&amp;EPUB=Y</v>
      </c>
      <c r="H27" s="8" t="s">
        <v>1795</v>
      </c>
    </row>
    <row r="28" spans="1:8" x14ac:dyDescent="0.3">
      <c r="A28" s="4" t="s">
        <v>1941</v>
      </c>
      <c r="B28" s="5">
        <v>44893</v>
      </c>
      <c r="C28" s="6" t="s">
        <v>2367</v>
      </c>
      <c r="D28" s="6" t="s">
        <v>1643</v>
      </c>
      <c r="E28" s="6" t="s">
        <v>2503</v>
      </c>
      <c r="F28" s="6" t="s">
        <v>1208</v>
      </c>
      <c r="G28" s="7" t="str">
        <f>HYPERLINK("https://ovidsp.ovid.com/ovidweb.cgi?T=JS&amp;NEWS=n&amp;CSC=Y&amp;PAGE=booktext&amp;D=books&amp;SC=01434377&amp;EPUB=Y","https://ovidsp.ovid.com/ovidweb.cgi?T=JS&amp;NEWS=n&amp;CSC=Y&amp;PAGE=booktext&amp;D=books&amp;SC=01434377&amp;EPUB=Y")</f>
        <v>https://ovidsp.ovid.com/ovidweb.cgi?T=JS&amp;NEWS=n&amp;CSC=Y&amp;PAGE=booktext&amp;D=books&amp;SC=01434377&amp;EPUB=Y</v>
      </c>
      <c r="H28" s="8" t="s">
        <v>1795</v>
      </c>
    </row>
    <row r="29" spans="1:8" x14ac:dyDescent="0.3">
      <c r="A29" s="4" t="s">
        <v>1085</v>
      </c>
      <c r="B29" s="5">
        <v>44893</v>
      </c>
      <c r="C29" s="6" t="s">
        <v>1457</v>
      </c>
      <c r="D29" s="6" t="s">
        <v>2053</v>
      </c>
      <c r="E29" s="6" t="s">
        <v>2503</v>
      </c>
      <c r="F29" s="6" t="s">
        <v>1208</v>
      </c>
      <c r="G29" s="7" t="str">
        <f>HYPERLINK("https://ovidsp.ovid.com/ovidweb.cgi?T=JS&amp;NEWS=n&amp;CSC=Y&amp;PAGE=booktext&amp;D=books&amp;SC=02029593&amp;EPUB=Y","https://ovidsp.ovid.com/ovidweb.cgi?T=JS&amp;NEWS=n&amp;CSC=Y&amp;PAGE=booktext&amp;D=books&amp;SC=02029593&amp;EPUB=Y")</f>
        <v>https://ovidsp.ovid.com/ovidweb.cgi?T=JS&amp;NEWS=n&amp;CSC=Y&amp;PAGE=booktext&amp;D=books&amp;SC=02029593&amp;EPUB=Y</v>
      </c>
      <c r="H29" s="8" t="s">
        <v>1795</v>
      </c>
    </row>
    <row r="30" spans="1:8" x14ac:dyDescent="0.3">
      <c r="A30" s="4" t="s">
        <v>1040</v>
      </c>
      <c r="B30" s="5">
        <v>44893</v>
      </c>
      <c r="C30" s="6" t="s">
        <v>2156</v>
      </c>
      <c r="D30" s="6" t="s">
        <v>1891</v>
      </c>
      <c r="E30" s="6" t="s">
        <v>2503</v>
      </c>
      <c r="F30" s="6" t="s">
        <v>1208</v>
      </c>
      <c r="G30" s="7" t="str">
        <f>HYPERLINK("https://ovidsp.ovid.com/ovidweb.cgi?T=JS&amp;NEWS=n&amp;CSC=Y&amp;PAGE=booktext&amp;D=books&amp;SC=01647957&amp;EPUB=Y","https://ovidsp.ovid.com/ovidweb.cgi?T=JS&amp;NEWS=n&amp;CSC=Y&amp;PAGE=booktext&amp;D=books&amp;SC=01647957&amp;EPUB=Y")</f>
        <v>https://ovidsp.ovid.com/ovidweb.cgi?T=JS&amp;NEWS=n&amp;CSC=Y&amp;PAGE=booktext&amp;D=books&amp;SC=01647957&amp;EPUB=Y</v>
      </c>
      <c r="H30" s="8" t="s">
        <v>1795</v>
      </c>
    </row>
    <row r="31" spans="1:8" x14ac:dyDescent="0.3">
      <c r="A31" s="4" t="s">
        <v>1044</v>
      </c>
      <c r="B31" s="5">
        <v>44893</v>
      </c>
      <c r="C31" s="6" t="s">
        <v>2438</v>
      </c>
      <c r="D31" s="6" t="s">
        <v>845</v>
      </c>
      <c r="E31" s="6" t="s">
        <v>2503</v>
      </c>
      <c r="F31" s="6" t="s">
        <v>1208</v>
      </c>
      <c r="G31" s="7" t="str">
        <f>HYPERLINK("https://ovidsp.ovid.com/ovidweb.cgi?T=JS&amp;NEWS=n&amp;CSC=Y&amp;PAGE=booktext&amp;D=books&amp;SC=01434549&amp;EPUB=Y","https://ovidsp.ovid.com/ovidweb.cgi?T=JS&amp;NEWS=n&amp;CSC=Y&amp;PAGE=booktext&amp;D=books&amp;SC=01434549&amp;EPUB=Y")</f>
        <v>https://ovidsp.ovid.com/ovidweb.cgi?T=JS&amp;NEWS=n&amp;CSC=Y&amp;PAGE=booktext&amp;D=books&amp;SC=01434549&amp;EPUB=Y</v>
      </c>
      <c r="H31" s="8" t="s">
        <v>1795</v>
      </c>
    </row>
    <row r="32" spans="1:8" x14ac:dyDescent="0.3">
      <c r="A32" s="4" t="s">
        <v>57</v>
      </c>
      <c r="B32" s="5">
        <v>44893</v>
      </c>
      <c r="C32" s="6" t="s">
        <v>2367</v>
      </c>
      <c r="D32" s="6" t="s">
        <v>1643</v>
      </c>
      <c r="E32" s="6" t="s">
        <v>2503</v>
      </c>
      <c r="F32" s="6" t="s">
        <v>241</v>
      </c>
      <c r="G32" s="7" t="str">
        <f>HYPERLINK("https://ovidsp.ovid.com/ovidweb.cgi?T=JS&amp;NEWS=n&amp;CSC=Y&amp;PAGE=booktext&amp;D=books&amp;SC=01434420&amp;EPUB=Y","https://ovidsp.ovid.com/ovidweb.cgi?T=JS&amp;NEWS=n&amp;CSC=Y&amp;PAGE=booktext&amp;D=books&amp;SC=01434420&amp;EPUB=Y")</f>
        <v>https://ovidsp.ovid.com/ovidweb.cgi?T=JS&amp;NEWS=n&amp;CSC=Y&amp;PAGE=booktext&amp;D=books&amp;SC=01434420&amp;EPUB=Y</v>
      </c>
      <c r="H32" s="8" t="s">
        <v>1795</v>
      </c>
    </row>
    <row r="33" spans="1:8" x14ac:dyDescent="0.3">
      <c r="A33" s="4" t="s">
        <v>2272</v>
      </c>
      <c r="B33" s="5">
        <v>44893</v>
      </c>
      <c r="C33" s="6" t="s">
        <v>1097</v>
      </c>
      <c r="D33" s="6" t="s">
        <v>2324</v>
      </c>
      <c r="E33" s="6" t="s">
        <v>2503</v>
      </c>
      <c r="F33" s="6" t="s">
        <v>1208</v>
      </c>
      <c r="G33" s="7" t="str">
        <f>HYPERLINK("https://ovidsp.ovid.com/ovidweb.cgi?T=JS&amp;NEWS=n&amp;CSC=Y&amp;PAGE=booktext&amp;D=books&amp;SC=01867005&amp;EPUB=Y","https://ovidsp.ovid.com/ovidweb.cgi?T=JS&amp;NEWS=n&amp;CSC=Y&amp;PAGE=booktext&amp;D=books&amp;SC=01867005&amp;EPUB=Y")</f>
        <v>https://ovidsp.ovid.com/ovidweb.cgi?T=JS&amp;NEWS=n&amp;CSC=Y&amp;PAGE=booktext&amp;D=books&amp;SC=01867005&amp;EPUB=Y</v>
      </c>
      <c r="H33" s="8" t="s">
        <v>1795</v>
      </c>
    </row>
    <row r="34" spans="1:8" x14ac:dyDescent="0.3">
      <c r="A34" s="4" t="s">
        <v>2139</v>
      </c>
      <c r="B34" s="5">
        <v>44893</v>
      </c>
      <c r="C34" s="6" t="s">
        <v>548</v>
      </c>
      <c r="D34" s="6" t="s">
        <v>1520</v>
      </c>
      <c r="E34" s="6" t="s">
        <v>2503</v>
      </c>
      <c r="F34" s="6" t="s">
        <v>1208</v>
      </c>
      <c r="G34" s="7" t="str">
        <f>HYPERLINK("https://ovidsp.ovid.com/ovidweb.cgi?T=JS&amp;NEWS=n&amp;CSC=Y&amp;PAGE=booktext&amp;D=books&amp;SC=01626534&amp;EPUB=Y","https://ovidsp.ovid.com/ovidweb.cgi?T=JS&amp;NEWS=n&amp;CSC=Y&amp;PAGE=booktext&amp;D=books&amp;SC=01626534&amp;EPUB=Y")</f>
        <v>https://ovidsp.ovid.com/ovidweb.cgi?T=JS&amp;NEWS=n&amp;CSC=Y&amp;PAGE=booktext&amp;D=books&amp;SC=01626534&amp;EPUB=Y</v>
      </c>
      <c r="H34" s="8" t="s">
        <v>1795</v>
      </c>
    </row>
    <row r="35" spans="1:8" x14ac:dyDescent="0.3">
      <c r="A35" s="4" t="s">
        <v>333</v>
      </c>
      <c r="B35" s="5">
        <v>44893</v>
      </c>
      <c r="C35" s="6" t="s">
        <v>2367</v>
      </c>
      <c r="D35" s="6" t="s">
        <v>1643</v>
      </c>
      <c r="E35" s="6" t="s">
        <v>2503</v>
      </c>
      <c r="F35" s="6" t="s">
        <v>619</v>
      </c>
      <c r="G35" s="7" t="str">
        <f>HYPERLINK("https://ovidsp.ovid.com/ovidweb.cgi?T=JS&amp;NEWS=n&amp;CSC=Y&amp;PAGE=booktext&amp;D=books&amp;SC=01437472&amp;EPUB=Y","https://ovidsp.ovid.com/ovidweb.cgi?T=JS&amp;NEWS=n&amp;CSC=Y&amp;PAGE=booktext&amp;D=books&amp;SC=01437472&amp;EPUB=Y")</f>
        <v>https://ovidsp.ovid.com/ovidweb.cgi?T=JS&amp;NEWS=n&amp;CSC=Y&amp;PAGE=booktext&amp;D=books&amp;SC=01437472&amp;EPUB=Y</v>
      </c>
      <c r="H35" s="8" t="s">
        <v>1795</v>
      </c>
    </row>
    <row r="36" spans="1:8" x14ac:dyDescent="0.3">
      <c r="A36" s="4" t="s">
        <v>91</v>
      </c>
      <c r="B36" s="5">
        <v>44893</v>
      </c>
      <c r="C36" s="6" t="s">
        <v>1022</v>
      </c>
      <c r="D36" s="6" t="s">
        <v>367</v>
      </c>
      <c r="E36" s="6" t="s">
        <v>2503</v>
      </c>
      <c r="F36" s="6" t="s">
        <v>1208</v>
      </c>
      <c r="G36" s="7" t="str">
        <f>HYPERLINK("https://ovidsp.ovid.com/ovidweb.cgi?T=JS&amp;NEWS=n&amp;CSC=Y&amp;PAGE=booktext&amp;D=books&amp;SC=01938897&amp;EPUB=Y","https://ovidsp.ovid.com/ovidweb.cgi?T=JS&amp;NEWS=n&amp;CSC=Y&amp;PAGE=booktext&amp;D=books&amp;SC=01938897&amp;EPUB=Y")</f>
        <v>https://ovidsp.ovid.com/ovidweb.cgi?T=JS&amp;NEWS=n&amp;CSC=Y&amp;PAGE=booktext&amp;D=books&amp;SC=01938897&amp;EPUB=Y</v>
      </c>
      <c r="H36" s="8" t="s">
        <v>1795</v>
      </c>
    </row>
    <row r="37" spans="1:8" x14ac:dyDescent="0.3">
      <c r="A37" s="4" t="s">
        <v>1764</v>
      </c>
      <c r="B37" s="5">
        <v>44893</v>
      </c>
      <c r="C37" s="6" t="s">
        <v>999</v>
      </c>
      <c r="D37" s="6" t="s">
        <v>2591</v>
      </c>
      <c r="E37" s="6" t="s">
        <v>2503</v>
      </c>
      <c r="F37" s="6" t="s">
        <v>1208</v>
      </c>
      <c r="G37" s="7" t="str">
        <f>HYPERLINK("https://ovidsp.ovid.com/ovidweb.cgi?T=JS&amp;NEWS=n&amp;CSC=Y&amp;PAGE=booktext&amp;D=books&amp;SC=01745964&amp;EPUB=Y","https://ovidsp.ovid.com/ovidweb.cgi?T=JS&amp;NEWS=n&amp;CSC=Y&amp;PAGE=booktext&amp;D=books&amp;SC=01745964&amp;EPUB=Y")</f>
        <v>https://ovidsp.ovid.com/ovidweb.cgi?T=JS&amp;NEWS=n&amp;CSC=Y&amp;PAGE=booktext&amp;D=books&amp;SC=01745964&amp;EPUB=Y</v>
      </c>
      <c r="H37" s="8" t="s">
        <v>1795</v>
      </c>
    </row>
    <row r="38" spans="1:8" x14ac:dyDescent="0.3">
      <c r="A38" s="4" t="s">
        <v>1992</v>
      </c>
      <c r="B38" s="5">
        <v>44893</v>
      </c>
      <c r="C38" s="6" t="s">
        <v>1424</v>
      </c>
      <c r="D38" s="6" t="s">
        <v>476</v>
      </c>
      <c r="E38" s="6" t="s">
        <v>2503</v>
      </c>
      <c r="F38" s="6" t="s">
        <v>1208</v>
      </c>
      <c r="G38" s="7" t="str">
        <f>HYPERLINK("https://ovidsp.ovid.com/ovidweb.cgi?T=JS&amp;NEWS=n&amp;CSC=Y&amp;PAGE=booktext&amp;D=books&amp;SC=01990636&amp;EPUB=Y","https://ovidsp.ovid.com/ovidweb.cgi?T=JS&amp;NEWS=n&amp;CSC=Y&amp;PAGE=booktext&amp;D=books&amp;SC=01990636&amp;EPUB=Y")</f>
        <v>https://ovidsp.ovid.com/ovidweb.cgi?T=JS&amp;NEWS=n&amp;CSC=Y&amp;PAGE=booktext&amp;D=books&amp;SC=01990636&amp;EPUB=Y</v>
      </c>
      <c r="H38" s="8" t="s">
        <v>1795</v>
      </c>
    </row>
    <row r="39" spans="1:8" x14ac:dyDescent="0.3">
      <c r="A39" s="4" t="s">
        <v>2521</v>
      </c>
      <c r="B39" s="5">
        <v>44893</v>
      </c>
      <c r="C39" s="6" t="s">
        <v>120</v>
      </c>
      <c r="D39" s="6" t="s">
        <v>1742</v>
      </c>
      <c r="E39" s="6" t="s">
        <v>2503</v>
      </c>
      <c r="F39" s="6" t="s">
        <v>1208</v>
      </c>
      <c r="G39" s="7" t="str">
        <f>HYPERLINK("https://ovidsp.ovid.com/ovidweb.cgi?T=JS&amp;NEWS=n&amp;CSC=Y&amp;PAGE=booktext&amp;D=books&amp;SC=01807343&amp;EPUB=Y","https://ovidsp.ovid.com/ovidweb.cgi?T=JS&amp;NEWS=n&amp;CSC=Y&amp;PAGE=booktext&amp;D=books&amp;SC=01807343&amp;EPUB=Y")</f>
        <v>https://ovidsp.ovid.com/ovidweb.cgi?T=JS&amp;NEWS=n&amp;CSC=Y&amp;PAGE=booktext&amp;D=books&amp;SC=01807343&amp;EPUB=Y</v>
      </c>
      <c r="H39" s="8" t="s">
        <v>1795</v>
      </c>
    </row>
    <row r="40" spans="1:8" x14ac:dyDescent="0.3">
      <c r="A40" s="4" t="s">
        <v>1306</v>
      </c>
      <c r="B40" s="5">
        <v>44893</v>
      </c>
      <c r="C40" s="6" t="s">
        <v>2367</v>
      </c>
      <c r="D40" s="6" t="s">
        <v>1643</v>
      </c>
      <c r="E40" s="6" t="s">
        <v>2503</v>
      </c>
      <c r="F40" s="6" t="s">
        <v>1208</v>
      </c>
      <c r="G40" s="7" t="str">
        <f>HYPERLINK("https://ovidsp.ovid.com/ovidweb.cgi?T=JS&amp;NEWS=n&amp;CSC=Y&amp;PAGE=booktext&amp;D=books&amp;SC=01434352&amp;EPUB=Y","https://ovidsp.ovid.com/ovidweb.cgi?T=JS&amp;NEWS=n&amp;CSC=Y&amp;PAGE=booktext&amp;D=books&amp;SC=01434352&amp;EPUB=Y")</f>
        <v>https://ovidsp.ovid.com/ovidweb.cgi?T=JS&amp;NEWS=n&amp;CSC=Y&amp;PAGE=booktext&amp;D=books&amp;SC=01434352&amp;EPUB=Y</v>
      </c>
      <c r="H40" s="8" t="s">
        <v>1795</v>
      </c>
    </row>
    <row r="41" spans="1:8" x14ac:dyDescent="0.3">
      <c r="A41" s="4" t="s">
        <v>2402</v>
      </c>
      <c r="B41" s="5">
        <v>44893</v>
      </c>
      <c r="C41" s="6" t="s">
        <v>2367</v>
      </c>
      <c r="D41" s="6" t="s">
        <v>1643</v>
      </c>
      <c r="E41" s="6" t="s">
        <v>2503</v>
      </c>
      <c r="F41" s="6" t="s">
        <v>1208</v>
      </c>
      <c r="G41" s="7" t="str">
        <f>HYPERLINK("https://ovidsp.ovid.com/ovidweb.cgi?T=JS&amp;NEWS=n&amp;CSC=Y&amp;PAGE=booktext&amp;D=books&amp;SC=01434340&amp;EPUB=Y","https://ovidsp.ovid.com/ovidweb.cgi?T=JS&amp;NEWS=n&amp;CSC=Y&amp;PAGE=booktext&amp;D=books&amp;SC=01434340&amp;EPUB=Y")</f>
        <v>https://ovidsp.ovid.com/ovidweb.cgi?T=JS&amp;NEWS=n&amp;CSC=Y&amp;PAGE=booktext&amp;D=books&amp;SC=01434340&amp;EPUB=Y</v>
      </c>
      <c r="H41" s="8" t="s">
        <v>1795</v>
      </c>
    </row>
    <row r="42" spans="1:8" x14ac:dyDescent="0.3">
      <c r="A42" s="4" t="s">
        <v>2518</v>
      </c>
      <c r="B42" s="5">
        <v>44893</v>
      </c>
      <c r="C42" s="6" t="s">
        <v>2216</v>
      </c>
      <c r="D42" s="6" t="s">
        <v>19</v>
      </c>
      <c r="E42" s="6" t="s">
        <v>2503</v>
      </c>
      <c r="F42" s="6" t="s">
        <v>1208</v>
      </c>
      <c r="G42" s="7" t="str">
        <f>HYPERLINK("https://ovidsp.ovid.com/ovidweb.cgi?T=JS&amp;NEWS=n&amp;CSC=Y&amp;PAGE=booktext&amp;D=books&amp;SC=01933614&amp;EPUB=Y","https://ovidsp.ovid.com/ovidweb.cgi?T=JS&amp;NEWS=n&amp;CSC=Y&amp;PAGE=booktext&amp;D=books&amp;SC=01933614&amp;EPUB=Y")</f>
        <v>https://ovidsp.ovid.com/ovidweb.cgi?T=JS&amp;NEWS=n&amp;CSC=Y&amp;PAGE=booktext&amp;D=books&amp;SC=01933614&amp;EPUB=Y</v>
      </c>
      <c r="H42" s="8" t="s">
        <v>1795</v>
      </c>
    </row>
    <row r="43" spans="1:8" x14ac:dyDescent="0.3">
      <c r="A43" s="4" t="s">
        <v>1618</v>
      </c>
      <c r="B43" s="5">
        <v>44893</v>
      </c>
      <c r="C43" s="6" t="s">
        <v>1837</v>
      </c>
      <c r="D43" s="6" t="s">
        <v>1377</v>
      </c>
      <c r="E43" s="6" t="s">
        <v>2503</v>
      </c>
      <c r="F43" s="6" t="s">
        <v>1208</v>
      </c>
      <c r="G43" s="7" t="str">
        <f>HYPERLINK("https://ovidsp.ovid.com/ovidweb.cgi?T=JS&amp;NEWS=n&amp;CSC=Y&amp;PAGE=booktext&amp;D=books&amp;SC=01990637&amp;EPUB=Y","https://ovidsp.ovid.com/ovidweb.cgi?T=JS&amp;NEWS=n&amp;CSC=Y&amp;PAGE=booktext&amp;D=books&amp;SC=01990637&amp;EPUB=Y")</f>
        <v>https://ovidsp.ovid.com/ovidweb.cgi?T=JS&amp;NEWS=n&amp;CSC=Y&amp;PAGE=booktext&amp;D=books&amp;SC=01990637&amp;EPUB=Y</v>
      </c>
      <c r="H43" s="8" t="s">
        <v>1795</v>
      </c>
    </row>
    <row r="44" spans="1:8" x14ac:dyDescent="0.3">
      <c r="A44" s="4" t="s">
        <v>1527</v>
      </c>
      <c r="B44" s="5">
        <v>44893</v>
      </c>
      <c r="C44" s="6" t="s">
        <v>744</v>
      </c>
      <c r="D44" s="6" t="s">
        <v>2187</v>
      </c>
      <c r="E44" s="6" t="s">
        <v>2503</v>
      </c>
      <c r="F44" s="6" t="s">
        <v>1208</v>
      </c>
      <c r="G44" s="7" t="str">
        <f>HYPERLINK("https://ovidsp.ovid.com/ovidweb.cgi?T=JS&amp;NEWS=n&amp;CSC=Y&amp;PAGE=booktext&amp;D=books&amp;SC=01787204&amp;EPUB=Y","https://ovidsp.ovid.com/ovidweb.cgi?T=JS&amp;NEWS=n&amp;CSC=Y&amp;PAGE=booktext&amp;D=books&amp;SC=01787204&amp;EPUB=Y")</f>
        <v>https://ovidsp.ovid.com/ovidweb.cgi?T=JS&amp;NEWS=n&amp;CSC=Y&amp;PAGE=booktext&amp;D=books&amp;SC=01787204&amp;EPUB=Y</v>
      </c>
      <c r="H44" s="8" t="s">
        <v>1795</v>
      </c>
    </row>
    <row r="45" spans="1:8" x14ac:dyDescent="0.3">
      <c r="A45" s="4" t="s">
        <v>2107</v>
      </c>
      <c r="B45" s="5">
        <v>44893</v>
      </c>
      <c r="C45" s="6" t="s">
        <v>2030</v>
      </c>
      <c r="D45" s="6" t="s">
        <v>983</v>
      </c>
      <c r="E45" s="6" t="s">
        <v>2503</v>
      </c>
      <c r="F45" s="6" t="s">
        <v>1208</v>
      </c>
      <c r="G45" s="7" t="str">
        <f>HYPERLINK("https://ovidsp.ovid.com/ovidweb.cgi?T=JS&amp;NEWS=n&amp;CSC=Y&amp;PAGE=booktext&amp;D=books&amp;SC=01899937&amp;EPUB=Y","https://ovidsp.ovid.com/ovidweb.cgi?T=JS&amp;NEWS=n&amp;CSC=Y&amp;PAGE=booktext&amp;D=books&amp;SC=01899937&amp;EPUB=Y")</f>
        <v>https://ovidsp.ovid.com/ovidweb.cgi?T=JS&amp;NEWS=n&amp;CSC=Y&amp;PAGE=booktext&amp;D=books&amp;SC=01899937&amp;EPUB=Y</v>
      </c>
      <c r="H45" s="8" t="s">
        <v>1795</v>
      </c>
    </row>
    <row r="46" spans="1:8" x14ac:dyDescent="0.3">
      <c r="A46" s="4" t="s">
        <v>1288</v>
      </c>
      <c r="B46" s="5">
        <v>44893</v>
      </c>
      <c r="C46" s="6" t="s">
        <v>1070</v>
      </c>
      <c r="D46" s="6" t="s">
        <v>1872</v>
      </c>
      <c r="E46" s="6" t="s">
        <v>2503</v>
      </c>
      <c r="F46" s="6" t="s">
        <v>241</v>
      </c>
      <c r="G46" s="7" t="str">
        <f>HYPERLINK("https://ovidsp.ovid.com/ovidweb.cgi?T=JS&amp;NEWS=n&amp;CSC=Y&amp;PAGE=booktext&amp;D=books&amp;SC=01990638&amp;EPUB=Y","https://ovidsp.ovid.com/ovidweb.cgi?T=JS&amp;NEWS=n&amp;CSC=Y&amp;PAGE=booktext&amp;D=books&amp;SC=01990638&amp;EPUB=Y")</f>
        <v>https://ovidsp.ovid.com/ovidweb.cgi?T=JS&amp;NEWS=n&amp;CSC=Y&amp;PAGE=booktext&amp;D=books&amp;SC=01990638&amp;EPUB=Y</v>
      </c>
      <c r="H46" s="8" t="s">
        <v>1795</v>
      </c>
    </row>
    <row r="47" spans="1:8" x14ac:dyDescent="0.3">
      <c r="A47" s="4" t="s">
        <v>440</v>
      </c>
      <c r="B47" s="5">
        <v>44893</v>
      </c>
      <c r="C47" s="6" t="s">
        <v>850</v>
      </c>
      <c r="D47" s="6" t="s">
        <v>928</v>
      </c>
      <c r="E47" s="6" t="s">
        <v>2503</v>
      </c>
      <c r="F47" s="6" t="s">
        <v>1208</v>
      </c>
      <c r="G47" s="7" t="str">
        <f>HYPERLINK("https://ovidsp.ovid.com/ovidweb.cgi?T=JS&amp;NEWS=n&amp;CSC=Y&amp;PAGE=booktext&amp;D=books&amp;SC=02102012&amp;EPUB=Y","https://ovidsp.ovid.com/ovidweb.cgi?T=JS&amp;NEWS=n&amp;CSC=Y&amp;PAGE=booktext&amp;D=books&amp;SC=02102012&amp;EPUB=Y")</f>
        <v>https://ovidsp.ovid.com/ovidweb.cgi?T=JS&amp;NEWS=n&amp;CSC=Y&amp;PAGE=booktext&amp;D=books&amp;SC=02102012&amp;EPUB=Y</v>
      </c>
      <c r="H47" s="8" t="s">
        <v>1795</v>
      </c>
    </row>
    <row r="48" spans="1:8" x14ac:dyDescent="0.3">
      <c r="A48" s="4" t="s">
        <v>1339</v>
      </c>
      <c r="B48" s="5">
        <v>44893</v>
      </c>
      <c r="C48" s="6" t="s">
        <v>2194</v>
      </c>
      <c r="D48" s="6" t="s">
        <v>24</v>
      </c>
      <c r="E48" s="6" t="s">
        <v>2503</v>
      </c>
      <c r="F48" s="6" t="s">
        <v>1208</v>
      </c>
      <c r="G48" s="7" t="str">
        <f>HYPERLINK("https://ovidsp.ovid.com/ovidweb.cgi?T=JS&amp;NEWS=n&amp;CSC=Y&amp;PAGE=booktext&amp;D=books&amp;SC=01703960&amp;EPUB=Y","https://ovidsp.ovid.com/ovidweb.cgi?T=JS&amp;NEWS=n&amp;CSC=Y&amp;PAGE=booktext&amp;D=books&amp;SC=01703960&amp;EPUB=Y")</f>
        <v>https://ovidsp.ovid.com/ovidweb.cgi?T=JS&amp;NEWS=n&amp;CSC=Y&amp;PAGE=booktext&amp;D=books&amp;SC=01703960&amp;EPUB=Y</v>
      </c>
      <c r="H48" s="8" t="s">
        <v>1795</v>
      </c>
    </row>
    <row r="49" spans="1:8" x14ac:dyDescent="0.3">
      <c r="A49" s="4" t="s">
        <v>1844</v>
      </c>
      <c r="B49" s="5">
        <v>44893</v>
      </c>
      <c r="C49" s="6" t="s">
        <v>770</v>
      </c>
      <c r="D49" s="6" t="s">
        <v>2134</v>
      </c>
      <c r="E49" s="6" t="s">
        <v>2503</v>
      </c>
      <c r="F49" s="6" t="s">
        <v>241</v>
      </c>
      <c r="G49" s="7" t="str">
        <f>HYPERLINK("https://ovidsp.ovid.com/ovidweb.cgi?T=JS&amp;NEWS=n&amp;CSC=Y&amp;PAGE=booktext&amp;D=books&amp;SC=02045095&amp;EPUB=Y","https://ovidsp.ovid.com/ovidweb.cgi?T=JS&amp;NEWS=n&amp;CSC=Y&amp;PAGE=booktext&amp;D=books&amp;SC=02045095&amp;EPUB=Y")</f>
        <v>https://ovidsp.ovid.com/ovidweb.cgi?T=JS&amp;NEWS=n&amp;CSC=Y&amp;PAGE=booktext&amp;D=books&amp;SC=02045095&amp;EPUB=Y</v>
      </c>
      <c r="H49" s="8" t="s">
        <v>1795</v>
      </c>
    </row>
    <row r="50" spans="1:8" x14ac:dyDescent="0.3">
      <c r="A50" s="4" t="s">
        <v>1844</v>
      </c>
      <c r="B50" s="5">
        <v>44893</v>
      </c>
      <c r="C50" s="6" t="s">
        <v>1163</v>
      </c>
      <c r="D50" s="6" t="s">
        <v>1430</v>
      </c>
      <c r="E50" s="6" t="s">
        <v>2503</v>
      </c>
      <c r="F50" s="6" t="s">
        <v>1208</v>
      </c>
      <c r="G50" s="7" t="str">
        <f>HYPERLINK("https://ovidsp.ovid.com/ovidweb.cgi?T=JS&amp;NEWS=n&amp;CSC=Y&amp;PAGE=booktext&amp;D=books&amp;SC=01437922&amp;EPUB=Y","https://ovidsp.ovid.com/ovidweb.cgi?T=JS&amp;NEWS=n&amp;CSC=Y&amp;PAGE=booktext&amp;D=books&amp;SC=01437922&amp;EPUB=Y")</f>
        <v>https://ovidsp.ovid.com/ovidweb.cgi?T=JS&amp;NEWS=n&amp;CSC=Y&amp;PAGE=booktext&amp;D=books&amp;SC=01437922&amp;EPUB=Y</v>
      </c>
      <c r="H50" s="8" t="s">
        <v>1795</v>
      </c>
    </row>
    <row r="51" spans="1:8" x14ac:dyDescent="0.3">
      <c r="A51" s="4" t="s">
        <v>694</v>
      </c>
      <c r="B51" s="5">
        <v>44893</v>
      </c>
      <c r="C51" s="6" t="s">
        <v>2470</v>
      </c>
      <c r="D51" s="6" t="s">
        <v>2171</v>
      </c>
      <c r="E51" s="6" t="s">
        <v>2503</v>
      </c>
      <c r="F51" s="6" t="s">
        <v>1208</v>
      </c>
      <c r="G51" s="7" t="str">
        <f>HYPERLINK("https://ovidsp.ovid.com/ovidweb.cgi?T=JS&amp;NEWS=n&amp;CSC=Y&amp;PAGE=booktext&amp;D=books&amp;SC=01990630&amp;EPUB=Y","https://ovidsp.ovid.com/ovidweb.cgi?T=JS&amp;NEWS=n&amp;CSC=Y&amp;PAGE=booktext&amp;D=books&amp;SC=01990630&amp;EPUB=Y")</f>
        <v>https://ovidsp.ovid.com/ovidweb.cgi?T=JS&amp;NEWS=n&amp;CSC=Y&amp;PAGE=booktext&amp;D=books&amp;SC=01990630&amp;EPUB=Y</v>
      </c>
      <c r="H51" s="8" t="s">
        <v>1795</v>
      </c>
    </row>
    <row r="52" spans="1:8" x14ac:dyDescent="0.3">
      <c r="A52" s="4" t="s">
        <v>804</v>
      </c>
      <c r="B52" s="5">
        <v>44893</v>
      </c>
      <c r="C52" s="6" t="s">
        <v>188</v>
      </c>
      <c r="D52" s="6" t="s">
        <v>2276</v>
      </c>
      <c r="E52" s="6" t="s">
        <v>2503</v>
      </c>
      <c r="F52" s="6" t="s">
        <v>241</v>
      </c>
      <c r="G52" s="7" t="str">
        <f>HYPERLINK("https://ovidsp.ovid.com/ovidweb.cgi?T=JS&amp;NEWS=n&amp;CSC=Y&amp;PAGE=booktext&amp;D=books&amp;SC=02045093&amp;EPUB=Y","https://ovidsp.ovid.com/ovidweb.cgi?T=JS&amp;NEWS=n&amp;CSC=Y&amp;PAGE=booktext&amp;D=books&amp;SC=02045093&amp;EPUB=Y")</f>
        <v>https://ovidsp.ovid.com/ovidweb.cgi?T=JS&amp;NEWS=n&amp;CSC=Y&amp;PAGE=booktext&amp;D=books&amp;SC=02045093&amp;EPUB=Y</v>
      </c>
      <c r="H52" s="8" t="s">
        <v>1795</v>
      </c>
    </row>
    <row r="53" spans="1:8" x14ac:dyDescent="0.3">
      <c r="A53" s="4" t="s">
        <v>804</v>
      </c>
      <c r="B53" s="5">
        <v>44893</v>
      </c>
      <c r="C53" s="6" t="s">
        <v>240</v>
      </c>
      <c r="D53" s="6" t="s">
        <v>859</v>
      </c>
      <c r="E53" s="6" t="s">
        <v>2503</v>
      </c>
      <c r="F53" s="6" t="s">
        <v>1208</v>
      </c>
      <c r="G53" s="7" t="str">
        <f>HYPERLINK("https://ovidsp.ovid.com/ovidweb.cgi?T=JS&amp;NEWS=n&amp;CSC=Y&amp;PAGE=booktext&amp;D=books&amp;SC=01434605&amp;EPUB=Y","https://ovidsp.ovid.com/ovidweb.cgi?T=JS&amp;NEWS=n&amp;CSC=Y&amp;PAGE=booktext&amp;D=books&amp;SC=01434605&amp;EPUB=Y")</f>
        <v>https://ovidsp.ovid.com/ovidweb.cgi?T=JS&amp;NEWS=n&amp;CSC=Y&amp;PAGE=booktext&amp;D=books&amp;SC=01434605&amp;EPUB=Y</v>
      </c>
      <c r="H53" s="8" t="s">
        <v>1795</v>
      </c>
    </row>
    <row r="54" spans="1:8" x14ac:dyDescent="0.3">
      <c r="A54" s="4" t="s">
        <v>294</v>
      </c>
      <c r="B54" s="5">
        <v>44893</v>
      </c>
      <c r="C54" s="6" t="s">
        <v>2367</v>
      </c>
      <c r="D54" s="6" t="s">
        <v>1643</v>
      </c>
      <c r="E54" s="6" t="s">
        <v>2503</v>
      </c>
      <c r="F54" s="6" t="s">
        <v>1208</v>
      </c>
      <c r="G54" s="7" t="str">
        <f>HYPERLINK("https://ovidsp.ovid.com/ovidweb.cgi?T=JS&amp;NEWS=n&amp;CSC=Y&amp;PAGE=booktext&amp;D=books&amp;SC=01434417&amp;EPUB=Y","https://ovidsp.ovid.com/ovidweb.cgi?T=JS&amp;NEWS=n&amp;CSC=Y&amp;PAGE=booktext&amp;D=books&amp;SC=01434417&amp;EPUB=Y")</f>
        <v>https://ovidsp.ovid.com/ovidweb.cgi?T=JS&amp;NEWS=n&amp;CSC=Y&amp;PAGE=booktext&amp;D=books&amp;SC=01434417&amp;EPUB=Y</v>
      </c>
      <c r="H54" s="8" t="s">
        <v>1795</v>
      </c>
    </row>
    <row r="55" spans="1:8" x14ac:dyDescent="0.3">
      <c r="A55" s="4" t="s">
        <v>1370</v>
      </c>
      <c r="B55" s="5">
        <v>44893</v>
      </c>
      <c r="C55" s="6" t="s">
        <v>2367</v>
      </c>
      <c r="D55" s="6" t="s">
        <v>1643</v>
      </c>
      <c r="E55" s="6" t="s">
        <v>2503</v>
      </c>
      <c r="F55" s="6" t="s">
        <v>1208</v>
      </c>
      <c r="G55" s="7" t="str">
        <f>HYPERLINK("https://ovidsp.ovid.com/ovidweb.cgi?T=JS&amp;NEWS=n&amp;CSC=Y&amp;PAGE=booktext&amp;D=books&amp;SC=01434331&amp;EPUB=Y","https://ovidsp.ovid.com/ovidweb.cgi?T=JS&amp;NEWS=n&amp;CSC=Y&amp;PAGE=booktext&amp;D=books&amp;SC=01434331&amp;EPUB=Y")</f>
        <v>https://ovidsp.ovid.com/ovidweb.cgi?T=JS&amp;NEWS=n&amp;CSC=Y&amp;PAGE=booktext&amp;D=books&amp;SC=01434331&amp;EPUB=Y</v>
      </c>
      <c r="H55" s="8" t="s">
        <v>1795</v>
      </c>
    </row>
    <row r="56" spans="1:8" x14ac:dyDescent="0.3">
      <c r="A56" s="4" t="s">
        <v>372</v>
      </c>
      <c r="B56" s="5">
        <v>44893</v>
      </c>
      <c r="C56" s="6" t="s">
        <v>1304</v>
      </c>
      <c r="D56" s="6" t="s">
        <v>2305</v>
      </c>
      <c r="E56" s="6" t="s">
        <v>2503</v>
      </c>
      <c r="F56" s="6" t="s">
        <v>1208</v>
      </c>
      <c r="G56" s="7" t="str">
        <f>HYPERLINK("https://ovidsp.ovid.com/ovidweb.cgi?T=JS&amp;NEWS=n&amp;CSC=Y&amp;PAGE=booktext&amp;D=books&amp;SC=02272476&amp;EPUB=Y","https://ovidsp.ovid.com/ovidweb.cgi?T=JS&amp;NEWS=n&amp;CSC=Y&amp;PAGE=booktext&amp;D=books&amp;SC=02272476&amp;EPUB=Y")</f>
        <v>https://ovidsp.ovid.com/ovidweb.cgi?T=JS&amp;NEWS=n&amp;CSC=Y&amp;PAGE=booktext&amp;D=books&amp;SC=02272476&amp;EPUB=Y</v>
      </c>
      <c r="H56" s="8" t="s">
        <v>1795</v>
      </c>
    </row>
    <row r="57" spans="1:8" x14ac:dyDescent="0.3">
      <c r="A57" s="4" t="s">
        <v>2233</v>
      </c>
      <c r="B57" s="5">
        <v>44893</v>
      </c>
      <c r="C57" s="6" t="s">
        <v>2551</v>
      </c>
      <c r="D57" s="6" t="s">
        <v>1183</v>
      </c>
      <c r="E57" s="6" t="s">
        <v>2503</v>
      </c>
      <c r="F57" s="6" t="s">
        <v>1208</v>
      </c>
      <c r="G57" s="7" t="str">
        <f>HYPERLINK("https://ovidsp.ovid.com/ovidweb.cgi?T=JS&amp;NEWS=n&amp;CSC=Y&amp;PAGE=booktext&amp;D=books&amp;SC=01434834&amp;EPUB=Y","https://ovidsp.ovid.com/ovidweb.cgi?T=JS&amp;NEWS=n&amp;CSC=Y&amp;PAGE=booktext&amp;D=books&amp;SC=01434834&amp;EPUB=Y")</f>
        <v>https://ovidsp.ovid.com/ovidweb.cgi?T=JS&amp;NEWS=n&amp;CSC=Y&amp;PAGE=booktext&amp;D=books&amp;SC=01434834&amp;EPUB=Y</v>
      </c>
      <c r="H57" s="8" t="s">
        <v>1795</v>
      </c>
    </row>
    <row r="58" spans="1:8" x14ac:dyDescent="0.3">
      <c r="A58" s="4" t="s">
        <v>415</v>
      </c>
      <c r="B58" s="5">
        <v>44893</v>
      </c>
      <c r="C58" s="6" t="s">
        <v>2367</v>
      </c>
      <c r="D58" s="6" t="s">
        <v>1643</v>
      </c>
      <c r="E58" s="6" t="s">
        <v>2503</v>
      </c>
      <c r="F58" s="6" t="s">
        <v>1208</v>
      </c>
      <c r="G58" s="7" t="str">
        <f>HYPERLINK("https://ovidsp.ovid.com/ovidweb.cgi?T=JS&amp;NEWS=n&amp;CSC=Y&amp;PAGE=booktext&amp;D=books&amp;SC=01434445&amp;EPUB=Y","https://ovidsp.ovid.com/ovidweb.cgi?T=JS&amp;NEWS=n&amp;CSC=Y&amp;PAGE=booktext&amp;D=books&amp;SC=01434445&amp;EPUB=Y")</f>
        <v>https://ovidsp.ovid.com/ovidweb.cgi?T=JS&amp;NEWS=n&amp;CSC=Y&amp;PAGE=booktext&amp;D=books&amp;SC=01434445&amp;EPUB=Y</v>
      </c>
      <c r="H58" s="8" t="s">
        <v>1795</v>
      </c>
    </row>
    <row r="59" spans="1:8" x14ac:dyDescent="0.3">
      <c r="A59" s="4" t="s">
        <v>415</v>
      </c>
      <c r="B59" s="5">
        <v>44893</v>
      </c>
      <c r="C59" s="6" t="s">
        <v>151</v>
      </c>
      <c r="D59" s="6" t="s">
        <v>299</v>
      </c>
      <c r="E59" s="6" t="s">
        <v>2503</v>
      </c>
      <c r="F59" s="6" t="s">
        <v>241</v>
      </c>
      <c r="G59" s="7" t="str">
        <f>HYPERLINK("https://ovidsp.ovid.com/ovidweb.cgi?T=JS&amp;NEWS=n&amp;CSC=Y&amp;PAGE=booktext&amp;D=books&amp;SC=01607904&amp;EPUB=Y","https://ovidsp.ovid.com/ovidweb.cgi?T=JS&amp;NEWS=n&amp;CSC=Y&amp;PAGE=booktext&amp;D=books&amp;SC=01607904&amp;EPUB=Y")</f>
        <v>https://ovidsp.ovid.com/ovidweb.cgi?T=JS&amp;NEWS=n&amp;CSC=Y&amp;PAGE=booktext&amp;D=books&amp;SC=01607904&amp;EPUB=Y</v>
      </c>
      <c r="H59" s="8" t="s">
        <v>1795</v>
      </c>
    </row>
    <row r="60" spans="1:8" x14ac:dyDescent="0.3">
      <c r="A60" s="4" t="s">
        <v>267</v>
      </c>
      <c r="B60" s="5">
        <v>44893</v>
      </c>
      <c r="C60" s="6" t="s">
        <v>379</v>
      </c>
      <c r="D60" s="6" t="s">
        <v>2357</v>
      </c>
      <c r="E60" s="6" t="s">
        <v>2503</v>
      </c>
      <c r="F60" s="6" t="s">
        <v>1208</v>
      </c>
      <c r="G60" s="7" t="str">
        <f>HYPERLINK("https://ovidsp.ovid.com/ovidweb.cgi?T=JS&amp;NEWS=n&amp;CSC=Y&amp;PAGE=booktext&amp;D=books&amp;SC=01434628&amp;EPUB=Y","https://ovidsp.ovid.com/ovidweb.cgi?T=JS&amp;NEWS=n&amp;CSC=Y&amp;PAGE=booktext&amp;D=books&amp;SC=01434628&amp;EPUB=Y")</f>
        <v>https://ovidsp.ovid.com/ovidweb.cgi?T=JS&amp;NEWS=n&amp;CSC=Y&amp;PAGE=booktext&amp;D=books&amp;SC=01434628&amp;EPUB=Y</v>
      </c>
      <c r="H60" s="8" t="s">
        <v>1795</v>
      </c>
    </row>
    <row r="61" spans="1:8" x14ac:dyDescent="0.3">
      <c r="A61" s="4" t="s">
        <v>192</v>
      </c>
      <c r="B61" s="5">
        <v>44893</v>
      </c>
      <c r="C61" s="6" t="s">
        <v>2539</v>
      </c>
      <c r="D61" s="6" t="s">
        <v>2516</v>
      </c>
      <c r="E61" s="6" t="s">
        <v>2503</v>
      </c>
      <c r="F61" s="6" t="s">
        <v>1208</v>
      </c>
      <c r="G61" s="7" t="str">
        <f>HYPERLINK("https://ovidsp.ovid.com/ovidweb.cgi?T=JS&amp;NEWS=n&amp;CSC=Y&amp;PAGE=booktext&amp;D=books&amp;SC=01607905&amp;EPUB=Y","https://ovidsp.ovid.com/ovidweb.cgi?T=JS&amp;NEWS=n&amp;CSC=Y&amp;PAGE=booktext&amp;D=books&amp;SC=01607905&amp;EPUB=Y")</f>
        <v>https://ovidsp.ovid.com/ovidweb.cgi?T=JS&amp;NEWS=n&amp;CSC=Y&amp;PAGE=booktext&amp;D=books&amp;SC=01607905&amp;EPUB=Y</v>
      </c>
      <c r="H61" s="8" t="s">
        <v>1795</v>
      </c>
    </row>
    <row r="62" spans="1:8" x14ac:dyDescent="0.3">
      <c r="A62" s="4" t="s">
        <v>1734</v>
      </c>
      <c r="B62" s="5">
        <v>44893</v>
      </c>
      <c r="C62" s="6" t="s">
        <v>968</v>
      </c>
      <c r="D62" s="6" t="s">
        <v>1229</v>
      </c>
      <c r="E62" s="6" t="s">
        <v>2503</v>
      </c>
      <c r="F62" s="6" t="s">
        <v>1208</v>
      </c>
      <c r="G62" s="7" t="str">
        <f>HYPERLINK("https://ovidsp.ovid.com/ovidweb.cgi?T=JS&amp;NEWS=n&amp;CSC=Y&amp;PAGE=booktext&amp;D=books&amp;SC=02008441&amp;EPUB=Y","https://ovidsp.ovid.com/ovidweb.cgi?T=JS&amp;NEWS=n&amp;CSC=Y&amp;PAGE=booktext&amp;D=books&amp;SC=02008441&amp;EPUB=Y")</f>
        <v>https://ovidsp.ovid.com/ovidweb.cgi?T=JS&amp;NEWS=n&amp;CSC=Y&amp;PAGE=booktext&amp;D=books&amp;SC=02008441&amp;EPUB=Y</v>
      </c>
      <c r="H62" s="8" t="s">
        <v>1795</v>
      </c>
    </row>
    <row r="63" spans="1:8" x14ac:dyDescent="0.3">
      <c r="A63" s="4" t="s">
        <v>501</v>
      </c>
      <c r="B63" s="5">
        <v>44893</v>
      </c>
      <c r="C63" s="6" t="s">
        <v>1111</v>
      </c>
      <c r="D63" s="6" t="s">
        <v>1885</v>
      </c>
      <c r="E63" s="6" t="s">
        <v>2503</v>
      </c>
      <c r="F63" s="6" t="s">
        <v>1208</v>
      </c>
      <c r="G63" s="7" t="str">
        <f>HYPERLINK("https://ovidsp.ovid.com/ovidweb.cgi?T=JS&amp;NEWS=n&amp;CSC=Y&amp;PAGE=booktext&amp;D=books&amp;SC=02091988&amp;EPUB=Y","https://ovidsp.ovid.com/ovidweb.cgi?T=JS&amp;NEWS=n&amp;CSC=Y&amp;PAGE=booktext&amp;D=books&amp;SC=02091988&amp;EPUB=Y")</f>
        <v>https://ovidsp.ovid.com/ovidweb.cgi?T=JS&amp;NEWS=n&amp;CSC=Y&amp;PAGE=booktext&amp;D=books&amp;SC=02091988&amp;EPUB=Y</v>
      </c>
      <c r="H63" s="8" t="s">
        <v>1795</v>
      </c>
    </row>
    <row r="64" spans="1:8" x14ac:dyDescent="0.3">
      <c r="A64" s="4" t="s">
        <v>66</v>
      </c>
      <c r="B64" s="5">
        <v>44893</v>
      </c>
      <c r="C64" s="6" t="s">
        <v>449</v>
      </c>
      <c r="D64" s="6" t="s">
        <v>1240</v>
      </c>
      <c r="E64" s="6" t="s">
        <v>2503</v>
      </c>
      <c r="F64" s="6" t="s">
        <v>1208</v>
      </c>
      <c r="G64" s="7" t="str">
        <f>HYPERLINK("https://ovidsp.ovid.com/ovidweb.cgi?T=JS&amp;NEWS=n&amp;CSC=Y&amp;PAGE=booktext&amp;D=books&amp;SC=01434617&amp;EPUB=Y","https://ovidsp.ovid.com/ovidweb.cgi?T=JS&amp;NEWS=n&amp;CSC=Y&amp;PAGE=booktext&amp;D=books&amp;SC=01434617&amp;EPUB=Y")</f>
        <v>https://ovidsp.ovid.com/ovidweb.cgi?T=JS&amp;NEWS=n&amp;CSC=Y&amp;PAGE=booktext&amp;D=books&amp;SC=01434617&amp;EPUB=Y</v>
      </c>
      <c r="H64" s="8" t="s">
        <v>1795</v>
      </c>
    </row>
    <row r="65" spans="1:8" x14ac:dyDescent="0.3">
      <c r="A65" s="4" t="s">
        <v>1875</v>
      </c>
      <c r="B65" s="5">
        <v>44893</v>
      </c>
      <c r="C65" s="6" t="s">
        <v>933</v>
      </c>
      <c r="D65" s="6" t="s">
        <v>863</v>
      </c>
      <c r="E65" s="6" t="s">
        <v>2503</v>
      </c>
      <c r="F65" s="6" t="s">
        <v>1208</v>
      </c>
      <c r="G65" s="7" t="str">
        <f>HYPERLINK("https://ovidsp.ovid.com/ovidweb.cgi?T=JS&amp;NEWS=n&amp;CSC=Y&amp;PAGE=booktext&amp;D=books&amp;SC=01703961&amp;EPUB=Y","https://ovidsp.ovid.com/ovidweb.cgi?T=JS&amp;NEWS=n&amp;CSC=Y&amp;PAGE=booktext&amp;D=books&amp;SC=01703961&amp;EPUB=Y")</f>
        <v>https://ovidsp.ovid.com/ovidweb.cgi?T=JS&amp;NEWS=n&amp;CSC=Y&amp;PAGE=booktext&amp;D=books&amp;SC=01703961&amp;EPUB=Y</v>
      </c>
      <c r="H65" s="8" t="s">
        <v>1795</v>
      </c>
    </row>
    <row r="66" spans="1:8" x14ac:dyDescent="0.3">
      <c r="A66" s="4" t="s">
        <v>1101</v>
      </c>
      <c r="B66" s="5">
        <v>44893</v>
      </c>
      <c r="C66" s="6" t="s">
        <v>862</v>
      </c>
      <c r="D66" s="6" t="s">
        <v>2487</v>
      </c>
      <c r="E66" s="6" t="s">
        <v>2503</v>
      </c>
      <c r="F66" s="6" t="s">
        <v>1208</v>
      </c>
      <c r="G66" s="7" t="str">
        <f>HYPERLINK("https://ovidsp.ovid.com/ovidweb.cgi?T=JS&amp;NEWS=n&amp;CSC=Y&amp;PAGE=booktext&amp;D=books&amp;SC=02200532&amp;EPUB=Y","https://ovidsp.ovid.com/ovidweb.cgi?T=JS&amp;NEWS=n&amp;CSC=Y&amp;PAGE=booktext&amp;D=books&amp;SC=02200532&amp;EPUB=Y")</f>
        <v>https://ovidsp.ovid.com/ovidweb.cgi?T=JS&amp;NEWS=n&amp;CSC=Y&amp;PAGE=booktext&amp;D=books&amp;SC=02200532&amp;EPUB=Y</v>
      </c>
      <c r="H66" s="8" t="s">
        <v>1795</v>
      </c>
    </row>
    <row r="67" spans="1:8" x14ac:dyDescent="0.3">
      <c r="A67" s="4" t="s">
        <v>316</v>
      </c>
      <c r="B67" s="5">
        <v>44893</v>
      </c>
      <c r="C67" s="6" t="s">
        <v>2529</v>
      </c>
      <c r="D67" s="6" t="s">
        <v>1699</v>
      </c>
      <c r="E67" s="6" t="s">
        <v>2503</v>
      </c>
      <c r="F67" s="6" t="s">
        <v>1208</v>
      </c>
      <c r="G67" s="7" t="str">
        <f>HYPERLINK("https://ovidsp.ovid.com/ovidweb.cgi?T=JS&amp;NEWS=n&amp;CSC=Y&amp;PAGE=booktext&amp;D=books&amp;SC=02196144&amp;EPUB=Y","https://ovidsp.ovid.com/ovidweb.cgi?T=JS&amp;NEWS=n&amp;CSC=Y&amp;PAGE=booktext&amp;D=books&amp;SC=02196144&amp;EPUB=Y")</f>
        <v>https://ovidsp.ovid.com/ovidweb.cgi?T=JS&amp;NEWS=n&amp;CSC=Y&amp;PAGE=booktext&amp;D=books&amp;SC=02196144&amp;EPUB=Y</v>
      </c>
      <c r="H67" s="8" t="s">
        <v>1795</v>
      </c>
    </row>
    <row r="68" spans="1:8" x14ac:dyDescent="0.3">
      <c r="A68" s="4" t="s">
        <v>1808</v>
      </c>
      <c r="B68" s="5">
        <v>44893</v>
      </c>
      <c r="C68" s="6" t="s">
        <v>238</v>
      </c>
      <c r="D68" s="6" t="s">
        <v>1064</v>
      </c>
      <c r="E68" s="6" t="s">
        <v>2503</v>
      </c>
      <c r="F68" s="6" t="s">
        <v>1208</v>
      </c>
      <c r="G68" s="7" t="str">
        <f>HYPERLINK("https://ovidsp.ovid.com/ovidweb.cgi?T=JS&amp;NEWS=n&amp;CSC=Y&amp;PAGE=booktext&amp;D=books&amp;SC=02054259&amp;EPUB=Y","https://ovidsp.ovid.com/ovidweb.cgi?T=JS&amp;NEWS=n&amp;CSC=Y&amp;PAGE=booktext&amp;D=books&amp;SC=02054259&amp;EPUB=Y")</f>
        <v>https://ovidsp.ovid.com/ovidweb.cgi?T=JS&amp;NEWS=n&amp;CSC=Y&amp;PAGE=booktext&amp;D=books&amp;SC=02054259&amp;EPUB=Y</v>
      </c>
      <c r="H68" s="8" t="s">
        <v>1795</v>
      </c>
    </row>
    <row r="69" spans="1:8" x14ac:dyDescent="0.3">
      <c r="A69" s="4" t="s">
        <v>2244</v>
      </c>
      <c r="B69" s="5">
        <v>44893</v>
      </c>
      <c r="C69" s="6" t="s">
        <v>2122</v>
      </c>
      <c r="D69" s="6" t="s">
        <v>1318</v>
      </c>
      <c r="E69" s="6" t="s">
        <v>2503</v>
      </c>
      <c r="F69" s="6" t="s">
        <v>1208</v>
      </c>
      <c r="G69" s="7" t="str">
        <f>HYPERLINK("https://ovidsp.ovid.com/ovidweb.cgi?T=JS&amp;NEWS=n&amp;CSC=Y&amp;PAGE=booktext&amp;D=books&amp;SC=01434532&amp;EPUB=Y","https://ovidsp.ovid.com/ovidweb.cgi?T=JS&amp;NEWS=n&amp;CSC=Y&amp;PAGE=booktext&amp;D=books&amp;SC=01434532&amp;EPUB=Y")</f>
        <v>https://ovidsp.ovid.com/ovidweb.cgi?T=JS&amp;NEWS=n&amp;CSC=Y&amp;PAGE=booktext&amp;D=books&amp;SC=01434532&amp;EPUB=Y</v>
      </c>
      <c r="H69" s="8" t="s">
        <v>1795</v>
      </c>
    </row>
    <row r="70" spans="1:8" x14ac:dyDescent="0.3">
      <c r="A70" s="4" t="s">
        <v>226</v>
      </c>
      <c r="B70" s="5">
        <v>44893</v>
      </c>
      <c r="C70" s="6" t="s">
        <v>965</v>
      </c>
      <c r="D70" s="6" t="s">
        <v>138</v>
      </c>
      <c r="E70" s="6" t="s">
        <v>2503</v>
      </c>
      <c r="F70" s="6" t="s">
        <v>241</v>
      </c>
      <c r="G70" s="7" t="str">
        <f>HYPERLINK("https://ovidsp.ovid.com/ovidweb.cgi?T=JS&amp;NEWS=n&amp;CSC=Y&amp;PAGE=booktext&amp;D=books&amp;SC=01731089&amp;EPUB=Y","https://ovidsp.ovid.com/ovidweb.cgi?T=JS&amp;NEWS=n&amp;CSC=Y&amp;PAGE=booktext&amp;D=books&amp;SC=01731089&amp;EPUB=Y")</f>
        <v>https://ovidsp.ovid.com/ovidweb.cgi?T=JS&amp;NEWS=n&amp;CSC=Y&amp;PAGE=booktext&amp;D=books&amp;SC=01731089&amp;EPUB=Y</v>
      </c>
      <c r="H70" s="8" t="s">
        <v>1795</v>
      </c>
    </row>
    <row r="71" spans="1:8" x14ac:dyDescent="0.3">
      <c r="A71" s="4" t="s">
        <v>226</v>
      </c>
      <c r="B71" s="5">
        <v>44893</v>
      </c>
      <c r="C71" s="6" t="s">
        <v>2367</v>
      </c>
      <c r="D71" s="6" t="s">
        <v>1643</v>
      </c>
      <c r="E71" s="6" t="s">
        <v>2503</v>
      </c>
      <c r="F71" s="6" t="s">
        <v>1208</v>
      </c>
      <c r="G71" s="7" t="str">
        <f>HYPERLINK("https://ovidsp.ovid.com/ovidweb.cgi?T=JS&amp;NEWS=n&amp;CSC=Y&amp;PAGE=booktext&amp;D=books&amp;SC=01434383&amp;EPUB=Y","https://ovidsp.ovid.com/ovidweb.cgi?T=JS&amp;NEWS=n&amp;CSC=Y&amp;PAGE=booktext&amp;D=books&amp;SC=01434383&amp;EPUB=Y")</f>
        <v>https://ovidsp.ovid.com/ovidweb.cgi?T=JS&amp;NEWS=n&amp;CSC=Y&amp;PAGE=booktext&amp;D=books&amp;SC=01434383&amp;EPUB=Y</v>
      </c>
      <c r="H71" s="8" t="s">
        <v>1795</v>
      </c>
    </row>
    <row r="72" spans="1:8" x14ac:dyDescent="0.3">
      <c r="A72" s="4" t="s">
        <v>81</v>
      </c>
      <c r="B72" s="5">
        <v>44893</v>
      </c>
      <c r="C72" s="6" t="s">
        <v>2525</v>
      </c>
      <c r="D72" s="6" t="s">
        <v>2400</v>
      </c>
      <c r="E72" s="6" t="s">
        <v>2503</v>
      </c>
      <c r="F72" s="6" t="s">
        <v>241</v>
      </c>
      <c r="G72" s="7" t="str">
        <f>HYPERLINK("https://ovidsp.ovid.com/ovidweb.cgi?T=JS&amp;NEWS=n&amp;CSC=Y&amp;PAGE=booktext&amp;D=books&amp;SC=01845237&amp;EPUB=Y","https://ovidsp.ovid.com/ovidweb.cgi?T=JS&amp;NEWS=n&amp;CSC=Y&amp;PAGE=booktext&amp;D=books&amp;SC=01845237&amp;EPUB=Y")</f>
        <v>https://ovidsp.ovid.com/ovidweb.cgi?T=JS&amp;NEWS=n&amp;CSC=Y&amp;PAGE=booktext&amp;D=books&amp;SC=01845237&amp;EPUB=Y</v>
      </c>
      <c r="H72" s="8" t="s">
        <v>1795</v>
      </c>
    </row>
    <row r="73" spans="1:8" x14ac:dyDescent="0.3">
      <c r="A73" s="4" t="s">
        <v>1751</v>
      </c>
      <c r="B73" s="5">
        <v>44893</v>
      </c>
      <c r="C73" s="6" t="s">
        <v>2367</v>
      </c>
      <c r="D73" s="6" t="s">
        <v>1643</v>
      </c>
      <c r="E73" s="6" t="s">
        <v>2503</v>
      </c>
      <c r="F73" s="6" t="s">
        <v>1208</v>
      </c>
      <c r="G73" s="7" t="str">
        <f>HYPERLINK("https://ovidsp.ovid.com/ovidweb.cgi?T=JS&amp;NEWS=n&amp;CSC=Y&amp;PAGE=booktext&amp;D=books&amp;SC=01434437&amp;EPUB=Y","https://ovidsp.ovid.com/ovidweb.cgi?T=JS&amp;NEWS=n&amp;CSC=Y&amp;PAGE=booktext&amp;D=books&amp;SC=01434437&amp;EPUB=Y")</f>
        <v>https://ovidsp.ovid.com/ovidweb.cgi?T=JS&amp;NEWS=n&amp;CSC=Y&amp;PAGE=booktext&amp;D=books&amp;SC=01434437&amp;EPUB=Y</v>
      </c>
      <c r="H73" s="8" t="s">
        <v>1795</v>
      </c>
    </row>
    <row r="74" spans="1:8" x14ac:dyDescent="0.3">
      <c r="A74" s="4" t="s">
        <v>1019</v>
      </c>
      <c r="B74" s="5">
        <v>44893</v>
      </c>
      <c r="C74" s="6" t="s">
        <v>2459</v>
      </c>
      <c r="D74" s="6" t="s">
        <v>243</v>
      </c>
      <c r="E74" s="6" t="s">
        <v>2503</v>
      </c>
      <c r="F74" s="6" t="s">
        <v>1208</v>
      </c>
      <c r="G74" s="7" t="str">
        <f>HYPERLINK("https://ovidsp.ovid.com/ovidweb.cgi?T=JS&amp;NEWS=n&amp;CSC=Y&amp;PAGE=booktext&amp;D=books&amp;SC=01787393&amp;EPUB=Y","https://ovidsp.ovid.com/ovidweb.cgi?T=JS&amp;NEWS=n&amp;CSC=Y&amp;PAGE=booktext&amp;D=books&amp;SC=01787393&amp;EPUB=Y")</f>
        <v>https://ovidsp.ovid.com/ovidweb.cgi?T=JS&amp;NEWS=n&amp;CSC=Y&amp;PAGE=booktext&amp;D=books&amp;SC=01787393&amp;EPUB=Y</v>
      </c>
      <c r="H74" s="8" t="s">
        <v>1795</v>
      </c>
    </row>
    <row r="75" spans="1:8" x14ac:dyDescent="0.3">
      <c r="A75" s="4" t="s">
        <v>1530</v>
      </c>
      <c r="B75" s="5">
        <v>44893</v>
      </c>
      <c r="C75" s="6" t="s">
        <v>2145</v>
      </c>
      <c r="D75" s="6" t="s">
        <v>2401</v>
      </c>
      <c r="E75" s="6" t="s">
        <v>2503</v>
      </c>
      <c r="F75" s="6" t="s">
        <v>1208</v>
      </c>
      <c r="G75" s="7" t="str">
        <f>HYPERLINK("https://ovidsp.ovid.com/ovidweb.cgi?T=JS&amp;NEWS=n&amp;CSC=Y&amp;PAGE=booktext&amp;D=books&amp;SC=01703962&amp;EPUB=Y","https://ovidsp.ovid.com/ovidweb.cgi?T=JS&amp;NEWS=n&amp;CSC=Y&amp;PAGE=booktext&amp;D=books&amp;SC=01703962&amp;EPUB=Y")</f>
        <v>https://ovidsp.ovid.com/ovidweb.cgi?T=JS&amp;NEWS=n&amp;CSC=Y&amp;PAGE=booktext&amp;D=books&amp;SC=01703962&amp;EPUB=Y</v>
      </c>
      <c r="H75" s="8" t="s">
        <v>1795</v>
      </c>
    </row>
    <row r="76" spans="1:8" x14ac:dyDescent="0.3">
      <c r="A76" s="4" t="s">
        <v>792</v>
      </c>
      <c r="B76" s="5">
        <v>44893</v>
      </c>
      <c r="C76" s="6" t="s">
        <v>2404</v>
      </c>
      <c r="D76" s="6" t="s">
        <v>722</v>
      </c>
      <c r="E76" s="6" t="s">
        <v>2503</v>
      </c>
      <c r="F76" s="6" t="s">
        <v>1208</v>
      </c>
      <c r="G76" s="7" t="str">
        <f>HYPERLINK("https://ovidsp.ovid.com/ovidweb.cgi?T=JS&amp;NEWS=n&amp;CSC=Y&amp;PAGE=booktext&amp;D=books&amp;SC=01787202&amp;EPUB=Y","https://ovidsp.ovid.com/ovidweb.cgi?T=JS&amp;NEWS=n&amp;CSC=Y&amp;PAGE=booktext&amp;D=books&amp;SC=01787202&amp;EPUB=Y")</f>
        <v>https://ovidsp.ovid.com/ovidweb.cgi?T=JS&amp;NEWS=n&amp;CSC=Y&amp;PAGE=booktext&amp;D=books&amp;SC=01787202&amp;EPUB=Y</v>
      </c>
      <c r="H76" s="8" t="s">
        <v>1795</v>
      </c>
    </row>
    <row r="77" spans="1:8" x14ac:dyDescent="0.3">
      <c r="A77" s="4" t="s">
        <v>395</v>
      </c>
      <c r="B77" s="5">
        <v>44893</v>
      </c>
      <c r="C77" s="6" t="s">
        <v>2367</v>
      </c>
      <c r="D77" s="6" t="s">
        <v>1643</v>
      </c>
      <c r="E77" s="6" t="s">
        <v>2503</v>
      </c>
      <c r="F77" s="6" t="s">
        <v>1208</v>
      </c>
      <c r="G77" s="7" t="str">
        <f>HYPERLINK("https://ovidsp.ovid.com/ovidweb.cgi?T=JS&amp;NEWS=n&amp;CSC=Y&amp;PAGE=booktext&amp;D=books&amp;SC=01434350&amp;EPUB=Y","https://ovidsp.ovid.com/ovidweb.cgi?T=JS&amp;NEWS=n&amp;CSC=Y&amp;PAGE=booktext&amp;D=books&amp;SC=01434350&amp;EPUB=Y")</f>
        <v>https://ovidsp.ovid.com/ovidweb.cgi?T=JS&amp;NEWS=n&amp;CSC=Y&amp;PAGE=booktext&amp;D=books&amp;SC=01434350&amp;EPUB=Y</v>
      </c>
      <c r="H77" s="8" t="s">
        <v>1795</v>
      </c>
    </row>
    <row r="78" spans="1:8" x14ac:dyDescent="0.3">
      <c r="A78" s="4" t="s">
        <v>990</v>
      </c>
      <c r="B78" s="5">
        <v>44893</v>
      </c>
      <c r="C78" s="6" t="s">
        <v>494</v>
      </c>
      <c r="D78" s="6" t="s">
        <v>1815</v>
      </c>
      <c r="E78" s="6" t="s">
        <v>2503</v>
      </c>
      <c r="F78" s="6" t="s">
        <v>241</v>
      </c>
      <c r="G78" s="7" t="str">
        <f>HYPERLINK("https://ovidsp.ovid.com/ovidweb.cgi?T=JS&amp;NEWS=n&amp;CSC=Y&amp;PAGE=booktext&amp;D=books&amp;SC=01437913&amp;EPUB=Y","https://ovidsp.ovid.com/ovidweb.cgi?T=JS&amp;NEWS=n&amp;CSC=Y&amp;PAGE=booktext&amp;D=books&amp;SC=01437913&amp;EPUB=Y")</f>
        <v>https://ovidsp.ovid.com/ovidweb.cgi?T=JS&amp;NEWS=n&amp;CSC=Y&amp;PAGE=booktext&amp;D=books&amp;SC=01437913&amp;EPUB=Y</v>
      </c>
      <c r="H78" s="8" t="s">
        <v>1795</v>
      </c>
    </row>
    <row r="79" spans="1:8" x14ac:dyDescent="0.3">
      <c r="A79" s="4" t="s">
        <v>1017</v>
      </c>
      <c r="B79" s="5">
        <v>44893</v>
      </c>
      <c r="C79" s="6" t="s">
        <v>662</v>
      </c>
      <c r="D79" s="6" t="s">
        <v>1617</v>
      </c>
      <c r="E79" s="6" t="s">
        <v>2503</v>
      </c>
      <c r="F79" s="6" t="s">
        <v>1208</v>
      </c>
      <c r="G79" s="7" t="str">
        <f>HYPERLINK("https://ovidsp.ovid.com/ovidweb.cgi?T=JS&amp;NEWS=n&amp;CSC=Y&amp;PAGE=booktext&amp;D=books&amp;SC=02196143&amp;EPUB=Y","https://ovidsp.ovid.com/ovidweb.cgi?T=JS&amp;NEWS=n&amp;CSC=Y&amp;PAGE=booktext&amp;D=books&amp;SC=02196143&amp;EPUB=Y")</f>
        <v>https://ovidsp.ovid.com/ovidweb.cgi?T=JS&amp;NEWS=n&amp;CSC=Y&amp;PAGE=booktext&amp;D=books&amp;SC=02196143&amp;EPUB=Y</v>
      </c>
      <c r="H79" s="8" t="s">
        <v>1795</v>
      </c>
    </row>
    <row r="80" spans="1:8" x14ac:dyDescent="0.3">
      <c r="A80" s="4" t="s">
        <v>793</v>
      </c>
      <c r="B80" s="5">
        <v>44893</v>
      </c>
      <c r="C80" s="6" t="s">
        <v>1456</v>
      </c>
      <c r="D80" s="6" t="s">
        <v>38</v>
      </c>
      <c r="E80" s="6" t="s">
        <v>2503</v>
      </c>
      <c r="F80" s="6" t="s">
        <v>241</v>
      </c>
      <c r="G80" s="7" t="str">
        <f>HYPERLINK("https://ovidsp.ovid.com/ovidweb.cgi?T=JS&amp;NEWS=n&amp;CSC=Y&amp;PAGE=booktext&amp;D=books&amp;SC=01990639&amp;EPUB=Y","https://ovidsp.ovid.com/ovidweb.cgi?T=JS&amp;NEWS=n&amp;CSC=Y&amp;PAGE=booktext&amp;D=books&amp;SC=01990639&amp;EPUB=Y")</f>
        <v>https://ovidsp.ovid.com/ovidweb.cgi?T=JS&amp;NEWS=n&amp;CSC=Y&amp;PAGE=booktext&amp;D=books&amp;SC=01990639&amp;EPUB=Y</v>
      </c>
      <c r="H80" s="8" t="s">
        <v>1795</v>
      </c>
    </row>
    <row r="81" spans="1:8" x14ac:dyDescent="0.3">
      <c r="A81" s="4" t="s">
        <v>22</v>
      </c>
      <c r="B81" s="5">
        <v>44893</v>
      </c>
      <c r="C81" s="6" t="s">
        <v>1496</v>
      </c>
      <c r="D81" s="6" t="s">
        <v>2133</v>
      </c>
      <c r="E81" s="6" t="s">
        <v>2503</v>
      </c>
      <c r="F81" s="6" t="s">
        <v>241</v>
      </c>
      <c r="G81" s="7" t="str">
        <f>HYPERLINK("https://ovidsp.ovid.com/ovidweb.cgi?T=JS&amp;NEWS=n&amp;CSC=Y&amp;PAGE=booktext&amp;D=books&amp;SC=01933615&amp;EPUB=Y","https://ovidsp.ovid.com/ovidweb.cgi?T=JS&amp;NEWS=n&amp;CSC=Y&amp;PAGE=booktext&amp;D=books&amp;SC=01933615&amp;EPUB=Y")</f>
        <v>https://ovidsp.ovid.com/ovidweb.cgi?T=JS&amp;NEWS=n&amp;CSC=Y&amp;PAGE=booktext&amp;D=books&amp;SC=01933615&amp;EPUB=Y</v>
      </c>
      <c r="H81" s="8" t="s">
        <v>1795</v>
      </c>
    </row>
    <row r="82" spans="1:8" x14ac:dyDescent="0.3">
      <c r="A82" s="4" t="s">
        <v>1417</v>
      </c>
      <c r="B82" s="5">
        <v>44893</v>
      </c>
      <c r="C82" s="6" t="s">
        <v>2157</v>
      </c>
      <c r="D82" s="6" t="s">
        <v>2130</v>
      </c>
      <c r="E82" s="6" t="s">
        <v>2503</v>
      </c>
      <c r="F82" s="6" t="s">
        <v>1208</v>
      </c>
      <c r="G82" s="7" t="str">
        <f>HYPERLINK("https://ovidsp.ovid.com/ovidweb.cgi?T=JS&amp;NEWS=n&amp;CSC=Y&amp;PAGE=booktext&amp;D=books&amp;SC=02272482&amp;EPUB=Y","https://ovidsp.ovid.com/ovidweb.cgi?T=JS&amp;NEWS=n&amp;CSC=Y&amp;PAGE=booktext&amp;D=books&amp;SC=02272482&amp;EPUB=Y")</f>
        <v>https://ovidsp.ovid.com/ovidweb.cgi?T=JS&amp;NEWS=n&amp;CSC=Y&amp;PAGE=booktext&amp;D=books&amp;SC=02272482&amp;EPUB=Y</v>
      </c>
      <c r="H82" s="8" t="s">
        <v>1795</v>
      </c>
    </row>
    <row r="83" spans="1:8" x14ac:dyDescent="0.3">
      <c r="A83" s="4" t="s">
        <v>439</v>
      </c>
      <c r="B83" s="5">
        <v>44893</v>
      </c>
      <c r="C83" s="6" t="s">
        <v>187</v>
      </c>
      <c r="D83" s="6" t="s">
        <v>2572</v>
      </c>
      <c r="E83" s="6" t="s">
        <v>2503</v>
      </c>
      <c r="F83" s="6" t="s">
        <v>1208</v>
      </c>
      <c r="G83" s="7" t="str">
        <f>HYPERLINK("https://ovidsp.ovid.com/ovidweb.cgi?T=JS&amp;NEWS=n&amp;CSC=Y&amp;PAGE=booktext&amp;D=books&amp;SC=01434575&amp;EPUB=Y","https://ovidsp.ovid.com/ovidweb.cgi?T=JS&amp;NEWS=n&amp;CSC=Y&amp;PAGE=booktext&amp;D=books&amp;SC=01434575&amp;EPUB=Y")</f>
        <v>https://ovidsp.ovid.com/ovidweb.cgi?T=JS&amp;NEWS=n&amp;CSC=Y&amp;PAGE=booktext&amp;D=books&amp;SC=01434575&amp;EPUB=Y</v>
      </c>
      <c r="H83" s="8" t="s">
        <v>1795</v>
      </c>
    </row>
    <row r="84" spans="1:8" x14ac:dyDescent="0.3">
      <c r="A84" s="4" t="s">
        <v>1687</v>
      </c>
      <c r="B84" s="5">
        <v>44893</v>
      </c>
      <c r="C84" s="6" t="s">
        <v>2367</v>
      </c>
      <c r="D84" s="6" t="s">
        <v>1643</v>
      </c>
      <c r="E84" s="6" t="s">
        <v>2503</v>
      </c>
      <c r="F84" s="6" t="s">
        <v>1208</v>
      </c>
      <c r="G84" s="7" t="str">
        <f>HYPERLINK("https://ovidsp.ovid.com/ovidweb.cgi?T=JS&amp;NEWS=n&amp;CSC=Y&amp;PAGE=booktext&amp;D=books&amp;SC=01434384&amp;EPUB=Y","https://ovidsp.ovid.com/ovidweb.cgi?T=JS&amp;NEWS=n&amp;CSC=Y&amp;PAGE=booktext&amp;D=books&amp;SC=01434384&amp;EPUB=Y")</f>
        <v>https://ovidsp.ovid.com/ovidweb.cgi?T=JS&amp;NEWS=n&amp;CSC=Y&amp;PAGE=booktext&amp;D=books&amp;SC=01434384&amp;EPUB=Y</v>
      </c>
      <c r="H84" s="8" t="s">
        <v>1795</v>
      </c>
    </row>
    <row r="85" spans="1:8" x14ac:dyDescent="0.3">
      <c r="A85" s="4" t="s">
        <v>1639</v>
      </c>
      <c r="B85" s="5">
        <v>44893</v>
      </c>
      <c r="C85" s="6" t="s">
        <v>2367</v>
      </c>
      <c r="D85" s="6" t="s">
        <v>1643</v>
      </c>
      <c r="E85" s="6" t="s">
        <v>2503</v>
      </c>
      <c r="F85" s="6" t="s">
        <v>1208</v>
      </c>
      <c r="G85" s="7" t="str">
        <f>HYPERLINK("https://ovidsp.ovid.com/ovidweb.cgi?T=JS&amp;NEWS=n&amp;CSC=Y&amp;PAGE=booktext&amp;D=books&amp;SC=01434446&amp;EPUB=Y","https://ovidsp.ovid.com/ovidweb.cgi?T=JS&amp;NEWS=n&amp;CSC=Y&amp;PAGE=booktext&amp;D=books&amp;SC=01434446&amp;EPUB=Y")</f>
        <v>https://ovidsp.ovid.com/ovidweb.cgi?T=JS&amp;NEWS=n&amp;CSC=Y&amp;PAGE=booktext&amp;D=books&amp;SC=01434446&amp;EPUB=Y</v>
      </c>
      <c r="H85" s="8" t="s">
        <v>1795</v>
      </c>
    </row>
    <row r="86" spans="1:8" x14ac:dyDescent="0.3">
      <c r="A86" s="4" t="s">
        <v>2154</v>
      </c>
      <c r="B86" s="5">
        <v>44893</v>
      </c>
      <c r="C86" s="6" t="s">
        <v>2367</v>
      </c>
      <c r="D86" s="6" t="s">
        <v>1643</v>
      </c>
      <c r="E86" s="6" t="s">
        <v>2503</v>
      </c>
      <c r="F86" s="6" t="s">
        <v>1208</v>
      </c>
      <c r="G86" s="7" t="str">
        <f>HYPERLINK("https://ovidsp.ovid.com/ovidweb.cgi?T=JS&amp;NEWS=n&amp;CSC=Y&amp;PAGE=booktext&amp;D=books&amp;SC=01434353&amp;EPUB=Y","https://ovidsp.ovid.com/ovidweb.cgi?T=JS&amp;NEWS=n&amp;CSC=Y&amp;PAGE=booktext&amp;D=books&amp;SC=01434353&amp;EPUB=Y")</f>
        <v>https://ovidsp.ovid.com/ovidweb.cgi?T=JS&amp;NEWS=n&amp;CSC=Y&amp;PAGE=booktext&amp;D=books&amp;SC=01434353&amp;EPUB=Y</v>
      </c>
      <c r="H86" s="8" t="s">
        <v>1795</v>
      </c>
    </row>
    <row r="87" spans="1:8" x14ac:dyDescent="0.3">
      <c r="A87" s="4" t="s">
        <v>994</v>
      </c>
      <c r="B87" s="5">
        <v>44893</v>
      </c>
      <c r="C87" s="6" t="s">
        <v>355</v>
      </c>
      <c r="D87" s="6" t="s">
        <v>1326</v>
      </c>
      <c r="E87" s="6" t="s">
        <v>2503</v>
      </c>
      <c r="F87" s="6" t="s">
        <v>1208</v>
      </c>
      <c r="G87" s="7" t="str">
        <f>HYPERLINK("https://ovidsp.ovid.com/ovidweb.cgi?T=JS&amp;NEWS=n&amp;CSC=Y&amp;PAGE=booktext&amp;D=books&amp;SC=01714659&amp;EPUB=Y","https://ovidsp.ovid.com/ovidweb.cgi?T=JS&amp;NEWS=n&amp;CSC=Y&amp;PAGE=booktext&amp;D=books&amp;SC=01714659&amp;EPUB=Y")</f>
        <v>https://ovidsp.ovid.com/ovidweb.cgi?T=JS&amp;NEWS=n&amp;CSC=Y&amp;PAGE=booktext&amp;D=books&amp;SC=01714659&amp;EPUB=Y</v>
      </c>
      <c r="H87" s="8" t="s">
        <v>1795</v>
      </c>
    </row>
    <row r="88" spans="1:8" x14ac:dyDescent="0.3">
      <c r="A88" s="4" t="s">
        <v>740</v>
      </c>
      <c r="B88" s="5">
        <v>44893</v>
      </c>
      <c r="C88" s="6" t="s">
        <v>443</v>
      </c>
      <c r="D88" s="6" t="s">
        <v>547</v>
      </c>
      <c r="E88" s="6" t="s">
        <v>2503</v>
      </c>
      <c r="F88" s="6" t="s">
        <v>1208</v>
      </c>
      <c r="G88" s="7" t="str">
        <f>HYPERLINK("https://ovidsp.ovid.com/ovidweb.cgi?T=JS&amp;NEWS=n&amp;CSC=Y&amp;PAGE=booktext&amp;D=books&amp;SC=01984707&amp;EPUB=Y","https://ovidsp.ovid.com/ovidweb.cgi?T=JS&amp;NEWS=n&amp;CSC=Y&amp;PAGE=booktext&amp;D=books&amp;SC=01984707&amp;EPUB=Y")</f>
        <v>https://ovidsp.ovid.com/ovidweb.cgi?T=JS&amp;NEWS=n&amp;CSC=Y&amp;PAGE=booktext&amp;D=books&amp;SC=01984707&amp;EPUB=Y</v>
      </c>
      <c r="H88" s="8" t="s">
        <v>1795</v>
      </c>
    </row>
    <row r="89" spans="1:8" x14ac:dyDescent="0.3">
      <c r="A89" s="4" t="s">
        <v>1858</v>
      </c>
      <c r="B89" s="5">
        <v>44893</v>
      </c>
      <c r="C89" s="6" t="s">
        <v>2367</v>
      </c>
      <c r="D89" s="6" t="s">
        <v>1643</v>
      </c>
      <c r="E89" s="6" t="s">
        <v>2503</v>
      </c>
      <c r="F89" s="6" t="s">
        <v>1208</v>
      </c>
      <c r="G89" s="7" t="str">
        <f>HYPERLINK("https://ovidsp.ovid.com/ovidweb.cgi?T=JS&amp;NEWS=n&amp;CSC=Y&amp;PAGE=booktext&amp;D=books&amp;SC=01434250&amp;EPUB=Y","https://ovidsp.ovid.com/ovidweb.cgi?T=JS&amp;NEWS=n&amp;CSC=Y&amp;PAGE=booktext&amp;D=books&amp;SC=01434250&amp;EPUB=Y")</f>
        <v>https://ovidsp.ovid.com/ovidweb.cgi?T=JS&amp;NEWS=n&amp;CSC=Y&amp;PAGE=booktext&amp;D=books&amp;SC=01434250&amp;EPUB=Y</v>
      </c>
      <c r="H89" s="8" t="s">
        <v>1795</v>
      </c>
    </row>
    <row r="90" spans="1:8" x14ac:dyDescent="0.3">
      <c r="A90" s="4" t="s">
        <v>2450</v>
      </c>
      <c r="B90" s="5">
        <v>44893</v>
      </c>
      <c r="C90" s="6" t="s">
        <v>678</v>
      </c>
      <c r="D90" s="6" t="s">
        <v>1645</v>
      </c>
      <c r="E90" s="6" t="s">
        <v>2503</v>
      </c>
      <c r="F90" s="6" t="s">
        <v>1208</v>
      </c>
      <c r="G90" s="7" t="str">
        <f>HYPERLINK("https://ovidsp.ovid.com/ovidweb.cgi?T=JS&amp;NEWS=n&amp;CSC=Y&amp;PAGE=booktext&amp;D=books&amp;SC=01884408&amp;EPUB=Y","https://ovidsp.ovid.com/ovidweb.cgi?T=JS&amp;NEWS=n&amp;CSC=Y&amp;PAGE=booktext&amp;D=books&amp;SC=01884408&amp;EPUB=Y")</f>
        <v>https://ovidsp.ovid.com/ovidweb.cgi?T=JS&amp;NEWS=n&amp;CSC=Y&amp;PAGE=booktext&amp;D=books&amp;SC=01884408&amp;EPUB=Y</v>
      </c>
      <c r="H90" s="8" t="s">
        <v>1795</v>
      </c>
    </row>
    <row r="91" spans="1:8" x14ac:dyDescent="0.3">
      <c r="A91" s="4" t="s">
        <v>596</v>
      </c>
      <c r="B91" s="5">
        <v>44893</v>
      </c>
      <c r="C91" s="6" t="s">
        <v>2075</v>
      </c>
      <c r="D91" s="6" t="s">
        <v>1973</v>
      </c>
      <c r="E91" s="6" t="s">
        <v>2503</v>
      </c>
      <c r="F91" s="6" t="s">
        <v>1208</v>
      </c>
      <c r="G91" s="7" t="str">
        <f>HYPERLINK("https://ovidsp.ovid.com/ovidweb.cgi?T=JS&amp;NEWS=n&amp;CSC=Y&amp;PAGE=booktext&amp;D=books&amp;SC=01949551&amp;EPUB=Y","https://ovidsp.ovid.com/ovidweb.cgi?T=JS&amp;NEWS=n&amp;CSC=Y&amp;PAGE=booktext&amp;D=books&amp;SC=01949551&amp;EPUB=Y")</f>
        <v>https://ovidsp.ovid.com/ovidweb.cgi?T=JS&amp;NEWS=n&amp;CSC=Y&amp;PAGE=booktext&amp;D=books&amp;SC=01949551&amp;EPUB=Y</v>
      </c>
      <c r="H91" s="8" t="s">
        <v>1795</v>
      </c>
    </row>
    <row r="92" spans="1:8" x14ac:dyDescent="0.3">
      <c r="A92" s="4" t="s">
        <v>867</v>
      </c>
      <c r="B92" s="5">
        <v>44893</v>
      </c>
      <c r="C92" s="6" t="s">
        <v>2289</v>
      </c>
      <c r="D92" s="6" t="s">
        <v>2191</v>
      </c>
      <c r="E92" s="6" t="s">
        <v>2503</v>
      </c>
      <c r="F92" s="6" t="s">
        <v>1208</v>
      </c>
      <c r="G92" s="7" t="str">
        <f>HYPERLINK("https://ovidsp.ovid.com/ovidweb.cgi?T=JS&amp;NEWS=n&amp;CSC=Y&amp;PAGE=booktext&amp;D=books&amp;SC=01434589&amp;EPUB=Y","https://ovidsp.ovid.com/ovidweb.cgi?T=JS&amp;NEWS=n&amp;CSC=Y&amp;PAGE=booktext&amp;D=books&amp;SC=01434589&amp;EPUB=Y")</f>
        <v>https://ovidsp.ovid.com/ovidweb.cgi?T=JS&amp;NEWS=n&amp;CSC=Y&amp;PAGE=booktext&amp;D=books&amp;SC=01434589&amp;EPUB=Y</v>
      </c>
      <c r="H92" s="8" t="s">
        <v>1795</v>
      </c>
    </row>
    <row r="93" spans="1:8" x14ac:dyDescent="0.3">
      <c r="A93" s="4" t="s">
        <v>1378</v>
      </c>
      <c r="B93" s="5">
        <v>44893</v>
      </c>
      <c r="C93" s="6" t="s">
        <v>2367</v>
      </c>
      <c r="D93" s="6" t="s">
        <v>1643</v>
      </c>
      <c r="E93" s="6" t="s">
        <v>2503</v>
      </c>
      <c r="F93" s="6" t="s">
        <v>1208</v>
      </c>
      <c r="G93" s="7" t="str">
        <f>HYPERLINK("https://ovidsp.ovid.com/ovidweb.cgi?T=JS&amp;NEWS=n&amp;CSC=Y&amp;PAGE=booktext&amp;D=books&amp;SC=01434454&amp;EPUB=Y","https://ovidsp.ovid.com/ovidweb.cgi?T=JS&amp;NEWS=n&amp;CSC=Y&amp;PAGE=booktext&amp;D=books&amp;SC=01434454&amp;EPUB=Y")</f>
        <v>https://ovidsp.ovid.com/ovidweb.cgi?T=JS&amp;NEWS=n&amp;CSC=Y&amp;PAGE=booktext&amp;D=books&amp;SC=01434454&amp;EPUB=Y</v>
      </c>
      <c r="H93" s="8" t="s">
        <v>1795</v>
      </c>
    </row>
    <row r="94" spans="1:8" x14ac:dyDescent="0.3">
      <c r="A94" s="4" t="s">
        <v>2430</v>
      </c>
      <c r="B94" s="5">
        <v>44893</v>
      </c>
      <c r="C94" s="6" t="s">
        <v>1905</v>
      </c>
      <c r="D94" s="6" t="s">
        <v>2317</v>
      </c>
      <c r="E94" s="6" t="s">
        <v>2503</v>
      </c>
      <c r="F94" s="6" t="s">
        <v>1208</v>
      </c>
      <c r="G94" s="7" t="str">
        <f>HYPERLINK("https://ovidsp.ovid.com/ovidweb.cgi?T=JS&amp;NEWS=n&amp;CSC=Y&amp;PAGE=booktext&amp;D=books&amp;SC=02107291&amp;EPUB=Y","https://ovidsp.ovid.com/ovidweb.cgi?T=JS&amp;NEWS=n&amp;CSC=Y&amp;PAGE=booktext&amp;D=books&amp;SC=02107291&amp;EPUB=Y")</f>
        <v>https://ovidsp.ovid.com/ovidweb.cgi?T=JS&amp;NEWS=n&amp;CSC=Y&amp;PAGE=booktext&amp;D=books&amp;SC=02107291&amp;EPUB=Y</v>
      </c>
      <c r="H94" s="8" t="s">
        <v>1795</v>
      </c>
    </row>
    <row r="95" spans="1:8" x14ac:dyDescent="0.3">
      <c r="A95" s="4" t="s">
        <v>625</v>
      </c>
      <c r="B95" s="5">
        <v>44893</v>
      </c>
      <c r="C95" s="6" t="s">
        <v>2062</v>
      </c>
      <c r="D95" s="6" t="s">
        <v>764</v>
      </c>
      <c r="E95" s="6" t="s">
        <v>2503</v>
      </c>
      <c r="F95" s="6" t="s">
        <v>1208</v>
      </c>
      <c r="G95" s="7" t="str">
        <f>HYPERLINK("https://ovidsp.ovid.com/ovidweb.cgi?T=JS&amp;NEWS=n&amp;CSC=Y&amp;PAGE=booktext&amp;D=books&amp;SC=01861730&amp;EPUB=Y","https://ovidsp.ovid.com/ovidweb.cgi?T=JS&amp;NEWS=n&amp;CSC=Y&amp;PAGE=booktext&amp;D=books&amp;SC=01861730&amp;EPUB=Y")</f>
        <v>https://ovidsp.ovid.com/ovidweb.cgi?T=JS&amp;NEWS=n&amp;CSC=Y&amp;PAGE=booktext&amp;D=books&amp;SC=01861730&amp;EPUB=Y</v>
      </c>
      <c r="H95" s="8" t="s">
        <v>1795</v>
      </c>
    </row>
    <row r="96" spans="1:8" x14ac:dyDescent="0.3">
      <c r="A96" s="4" t="s">
        <v>2208</v>
      </c>
      <c r="B96" s="5">
        <v>44893</v>
      </c>
      <c r="C96" s="6" t="s">
        <v>671</v>
      </c>
      <c r="D96" s="6" t="s">
        <v>1473</v>
      </c>
      <c r="E96" s="6" t="s">
        <v>2503</v>
      </c>
      <c r="F96" s="6" t="s">
        <v>1208</v>
      </c>
      <c r="G96" s="7" t="str">
        <f>HYPERLINK("https://ovidsp.ovid.com/ovidweb.cgi?T=JS&amp;NEWS=n&amp;CSC=Y&amp;PAGE=booktext&amp;D=books&amp;SC=01745965&amp;EPUB=Y","https://ovidsp.ovid.com/ovidweb.cgi?T=JS&amp;NEWS=n&amp;CSC=Y&amp;PAGE=booktext&amp;D=books&amp;SC=01745965&amp;EPUB=Y")</f>
        <v>https://ovidsp.ovid.com/ovidweb.cgi?T=JS&amp;NEWS=n&amp;CSC=Y&amp;PAGE=booktext&amp;D=books&amp;SC=01745965&amp;EPUB=Y</v>
      </c>
      <c r="H96" s="8" t="s">
        <v>1795</v>
      </c>
    </row>
    <row r="97" spans="1:8" x14ac:dyDescent="0.3">
      <c r="A97" s="4" t="s">
        <v>843</v>
      </c>
      <c r="B97" s="5">
        <v>44893</v>
      </c>
      <c r="C97" s="6" t="s">
        <v>2109</v>
      </c>
      <c r="D97" s="6" t="s">
        <v>366</v>
      </c>
      <c r="E97" s="6" t="s">
        <v>2503</v>
      </c>
      <c r="F97" s="6" t="s">
        <v>1208</v>
      </c>
      <c r="G97" s="7" t="str">
        <f>HYPERLINK("https://ovidsp.ovid.com/ovidweb.cgi?T=JS&amp;NEWS=n&amp;CSC=Y&amp;PAGE=booktext&amp;D=books&amp;SC=01436782&amp;EPUB=Y","https://ovidsp.ovid.com/ovidweb.cgi?T=JS&amp;NEWS=n&amp;CSC=Y&amp;PAGE=booktext&amp;D=books&amp;SC=01436782&amp;EPUB=Y")</f>
        <v>https://ovidsp.ovid.com/ovidweb.cgi?T=JS&amp;NEWS=n&amp;CSC=Y&amp;PAGE=booktext&amp;D=books&amp;SC=01436782&amp;EPUB=Y</v>
      </c>
      <c r="H97" s="8" t="s">
        <v>1795</v>
      </c>
    </row>
    <row r="98" spans="1:8" x14ac:dyDescent="0.3">
      <c r="A98" s="4" t="s">
        <v>706</v>
      </c>
      <c r="B98" s="5">
        <v>44893</v>
      </c>
      <c r="C98" s="6" t="s">
        <v>1683</v>
      </c>
      <c r="D98" s="6" t="s">
        <v>2612</v>
      </c>
      <c r="E98" s="6" t="s">
        <v>2503</v>
      </c>
      <c r="F98" s="6" t="s">
        <v>1208</v>
      </c>
      <c r="G98" s="7" t="str">
        <f>HYPERLINK("https://ovidsp.ovid.com/ovidweb.cgi?T=JS&amp;NEWS=n&amp;CSC=Y&amp;PAGE=booktext&amp;D=books&amp;SC=01745966&amp;EPUB=Y","https://ovidsp.ovid.com/ovidweb.cgi?T=JS&amp;NEWS=n&amp;CSC=Y&amp;PAGE=booktext&amp;D=books&amp;SC=01745966&amp;EPUB=Y")</f>
        <v>https://ovidsp.ovid.com/ovidweb.cgi?T=JS&amp;NEWS=n&amp;CSC=Y&amp;PAGE=booktext&amp;D=books&amp;SC=01745966&amp;EPUB=Y</v>
      </c>
      <c r="H98" s="8" t="s">
        <v>1795</v>
      </c>
    </row>
    <row r="99" spans="1:8" x14ac:dyDescent="0.3">
      <c r="A99" s="4" t="s">
        <v>650</v>
      </c>
      <c r="B99" s="5">
        <v>44893</v>
      </c>
      <c r="C99" s="6" t="s">
        <v>920</v>
      </c>
      <c r="D99" s="6" t="s">
        <v>467</v>
      </c>
      <c r="E99" s="6" t="s">
        <v>2503</v>
      </c>
      <c r="F99" s="6" t="s">
        <v>1208</v>
      </c>
      <c r="G99" s="7" t="str">
        <f>HYPERLINK("https://ovidsp.ovid.com/ovidweb.cgi?T=JS&amp;NEWS=n&amp;CSC=Y&amp;PAGE=booktext&amp;D=books&amp;SC=01434603&amp;EPUB=Y","https://ovidsp.ovid.com/ovidweb.cgi?T=JS&amp;NEWS=n&amp;CSC=Y&amp;PAGE=booktext&amp;D=books&amp;SC=01434603&amp;EPUB=Y")</f>
        <v>https://ovidsp.ovid.com/ovidweb.cgi?T=JS&amp;NEWS=n&amp;CSC=Y&amp;PAGE=booktext&amp;D=books&amp;SC=01434603&amp;EPUB=Y</v>
      </c>
      <c r="H99" s="8" t="s">
        <v>1795</v>
      </c>
    </row>
    <row r="100" spans="1:8" x14ac:dyDescent="0.3">
      <c r="A100" s="4" t="s">
        <v>1929</v>
      </c>
      <c r="B100" s="5">
        <v>44893</v>
      </c>
      <c r="C100" s="6" t="s">
        <v>2367</v>
      </c>
      <c r="D100" s="6" t="s">
        <v>1643</v>
      </c>
      <c r="E100" s="6" t="s">
        <v>2503</v>
      </c>
      <c r="F100" s="6" t="s">
        <v>1208</v>
      </c>
      <c r="G100" s="7" t="str">
        <f>HYPERLINK("https://ovidsp.ovid.com/ovidweb.cgi?T=JS&amp;NEWS=n&amp;CSC=Y&amp;PAGE=booktext&amp;D=books&amp;SC=01434414&amp;EPUB=Y","https://ovidsp.ovid.com/ovidweb.cgi?T=JS&amp;NEWS=n&amp;CSC=Y&amp;PAGE=booktext&amp;D=books&amp;SC=01434414&amp;EPUB=Y")</f>
        <v>https://ovidsp.ovid.com/ovidweb.cgi?T=JS&amp;NEWS=n&amp;CSC=Y&amp;PAGE=booktext&amp;D=books&amp;SC=01434414&amp;EPUB=Y</v>
      </c>
      <c r="H100" s="8" t="s">
        <v>1795</v>
      </c>
    </row>
    <row r="101" spans="1:8" x14ac:dyDescent="0.3">
      <c r="A101" s="4" t="s">
        <v>1116</v>
      </c>
      <c r="B101" s="5">
        <v>44893</v>
      </c>
      <c r="C101" s="6" t="s">
        <v>1341</v>
      </c>
      <c r="D101" s="6" t="s">
        <v>1233</v>
      </c>
      <c r="E101" s="6" t="s">
        <v>2503</v>
      </c>
      <c r="F101" s="6" t="s">
        <v>1208</v>
      </c>
      <c r="G101" s="7" t="str">
        <f>HYPERLINK("https://ovidsp.ovid.com/ovidweb.cgi?T=JS&amp;NEWS=n&amp;CSC=Y&amp;PAGE=booktext&amp;D=books&amp;SC=02181741&amp;EPUB=Y","https://ovidsp.ovid.com/ovidweb.cgi?T=JS&amp;NEWS=n&amp;CSC=Y&amp;PAGE=booktext&amp;D=books&amp;SC=02181741&amp;EPUB=Y")</f>
        <v>https://ovidsp.ovid.com/ovidweb.cgi?T=JS&amp;NEWS=n&amp;CSC=Y&amp;PAGE=booktext&amp;D=books&amp;SC=02181741&amp;EPUB=Y</v>
      </c>
      <c r="H101" s="8" t="s">
        <v>1795</v>
      </c>
    </row>
    <row r="102" spans="1:8" x14ac:dyDescent="0.3">
      <c r="A102" s="4" t="s">
        <v>1472</v>
      </c>
      <c r="B102" s="5">
        <v>44893</v>
      </c>
      <c r="C102" s="6" t="s">
        <v>2029</v>
      </c>
      <c r="D102" s="6" t="s">
        <v>136</v>
      </c>
      <c r="E102" s="6" t="s">
        <v>2503</v>
      </c>
      <c r="F102" s="6" t="s">
        <v>241</v>
      </c>
      <c r="G102" s="7" t="str">
        <f>HYPERLINK("https://ovidsp.ovid.com/ovidweb.cgi?T=JS&amp;NEWS=n&amp;CSC=Y&amp;PAGE=booktext&amp;D=books&amp;SC=01807344&amp;EPUB=Y","https://ovidsp.ovid.com/ovidweb.cgi?T=JS&amp;NEWS=n&amp;CSC=Y&amp;PAGE=booktext&amp;D=books&amp;SC=01807344&amp;EPUB=Y")</f>
        <v>https://ovidsp.ovid.com/ovidweb.cgi?T=JS&amp;NEWS=n&amp;CSC=Y&amp;PAGE=booktext&amp;D=books&amp;SC=01807344&amp;EPUB=Y</v>
      </c>
      <c r="H102" s="8" t="s">
        <v>1795</v>
      </c>
    </row>
    <row r="103" spans="1:8" x14ac:dyDescent="0.3">
      <c r="A103" s="4" t="s">
        <v>2582</v>
      </c>
      <c r="B103" s="5">
        <v>44893</v>
      </c>
      <c r="C103" s="6" t="s">
        <v>1186</v>
      </c>
      <c r="D103" s="6" t="s">
        <v>1653</v>
      </c>
      <c r="E103" s="6" t="s">
        <v>2503</v>
      </c>
      <c r="F103" s="6" t="s">
        <v>1208</v>
      </c>
      <c r="G103" s="7" t="str">
        <f>HYPERLINK("https://ovidsp.ovid.com/ovidweb.cgi?T=JS&amp;NEWS=n&amp;CSC=Y&amp;PAGE=booktext&amp;D=books&amp;SC=01781591&amp;EPUB=Y","https://ovidsp.ovid.com/ovidweb.cgi?T=JS&amp;NEWS=n&amp;CSC=Y&amp;PAGE=booktext&amp;D=books&amp;SC=01781591&amp;EPUB=Y")</f>
        <v>https://ovidsp.ovid.com/ovidweb.cgi?T=JS&amp;NEWS=n&amp;CSC=Y&amp;PAGE=booktext&amp;D=books&amp;SC=01781591&amp;EPUB=Y</v>
      </c>
      <c r="H103" s="8" t="s">
        <v>1795</v>
      </c>
    </row>
    <row r="104" spans="1:8" x14ac:dyDescent="0.3">
      <c r="A104" s="4" t="s">
        <v>715</v>
      </c>
      <c r="B104" s="5">
        <v>44893</v>
      </c>
      <c r="C104" s="6" t="s">
        <v>2367</v>
      </c>
      <c r="D104" s="6" t="s">
        <v>1643</v>
      </c>
      <c r="E104" s="6" t="s">
        <v>2503</v>
      </c>
      <c r="F104" s="6" t="s">
        <v>1208</v>
      </c>
      <c r="G104" s="7" t="str">
        <f>HYPERLINK("https://ovidsp.ovid.com/ovidweb.cgi?T=JS&amp;NEWS=n&amp;CSC=Y&amp;PAGE=booktext&amp;D=books&amp;SC=01434310&amp;EPUB=Y","https://ovidsp.ovid.com/ovidweb.cgi?T=JS&amp;NEWS=n&amp;CSC=Y&amp;PAGE=booktext&amp;D=books&amp;SC=01434310&amp;EPUB=Y")</f>
        <v>https://ovidsp.ovid.com/ovidweb.cgi?T=JS&amp;NEWS=n&amp;CSC=Y&amp;PAGE=booktext&amp;D=books&amp;SC=01434310&amp;EPUB=Y</v>
      </c>
      <c r="H104" s="8" t="s">
        <v>1795</v>
      </c>
    </row>
    <row r="105" spans="1:8" x14ac:dyDescent="0.3">
      <c r="A105" s="4" t="s">
        <v>374</v>
      </c>
      <c r="B105" s="5">
        <v>44893</v>
      </c>
      <c r="C105" s="6" t="s">
        <v>2061</v>
      </c>
      <c r="D105" s="6" t="s">
        <v>320</v>
      </c>
      <c r="E105" s="6" t="s">
        <v>2503</v>
      </c>
      <c r="F105" s="6" t="s">
        <v>1208</v>
      </c>
      <c r="G105" s="7" t="str">
        <f>HYPERLINK("https://ovidsp.ovid.com/ovidweb.cgi?T=JS&amp;NEWS=n&amp;CSC=Y&amp;PAGE=booktext&amp;D=books&amp;SC=01607903&amp;EPUB=Y","https://ovidsp.ovid.com/ovidweb.cgi?T=JS&amp;NEWS=n&amp;CSC=Y&amp;PAGE=booktext&amp;D=books&amp;SC=01607903&amp;EPUB=Y")</f>
        <v>https://ovidsp.ovid.com/ovidweb.cgi?T=JS&amp;NEWS=n&amp;CSC=Y&amp;PAGE=booktext&amp;D=books&amp;SC=01607903&amp;EPUB=Y</v>
      </c>
      <c r="H105" s="8" t="s">
        <v>1795</v>
      </c>
    </row>
    <row r="106" spans="1:8" x14ac:dyDescent="0.3">
      <c r="A106" s="4" t="s">
        <v>1146</v>
      </c>
      <c r="B106" s="5">
        <v>44893</v>
      </c>
      <c r="C106" s="6" t="s">
        <v>298</v>
      </c>
      <c r="D106" s="6" t="s">
        <v>1500</v>
      </c>
      <c r="E106" s="6" t="s">
        <v>2503</v>
      </c>
      <c r="F106" s="6" t="s">
        <v>1208</v>
      </c>
      <c r="G106" s="7" t="str">
        <f>HYPERLINK("https://ovidsp.ovid.com/ovidweb.cgi?T=JS&amp;NEWS=n&amp;CSC=Y&amp;PAGE=booktext&amp;D=books&amp;SC=02158086&amp;EPUB=Y","https://ovidsp.ovid.com/ovidweb.cgi?T=JS&amp;NEWS=n&amp;CSC=Y&amp;PAGE=booktext&amp;D=books&amp;SC=02158086&amp;EPUB=Y")</f>
        <v>https://ovidsp.ovid.com/ovidweb.cgi?T=JS&amp;NEWS=n&amp;CSC=Y&amp;PAGE=booktext&amp;D=books&amp;SC=02158086&amp;EPUB=Y</v>
      </c>
      <c r="H106" s="8" t="s">
        <v>1795</v>
      </c>
    </row>
    <row r="107" spans="1:8" x14ac:dyDescent="0.3">
      <c r="A107" s="4" t="s">
        <v>1788</v>
      </c>
      <c r="B107" s="5">
        <v>44893</v>
      </c>
      <c r="C107" s="6" t="s">
        <v>2367</v>
      </c>
      <c r="D107" s="6" t="s">
        <v>1643</v>
      </c>
      <c r="E107" s="6" t="s">
        <v>2503</v>
      </c>
      <c r="F107" s="6" t="s">
        <v>1208</v>
      </c>
      <c r="G107" s="7" t="str">
        <f>HYPERLINK("https://ovidsp.ovid.com/ovidweb.cgi?T=JS&amp;NEWS=n&amp;CSC=Y&amp;PAGE=booktext&amp;D=books&amp;SC=01434271&amp;EPUB=Y","https://ovidsp.ovid.com/ovidweb.cgi?T=JS&amp;NEWS=n&amp;CSC=Y&amp;PAGE=booktext&amp;D=books&amp;SC=01434271&amp;EPUB=Y")</f>
        <v>https://ovidsp.ovid.com/ovidweb.cgi?T=JS&amp;NEWS=n&amp;CSC=Y&amp;PAGE=booktext&amp;D=books&amp;SC=01434271&amp;EPUB=Y</v>
      </c>
      <c r="H107" s="8" t="s">
        <v>1795</v>
      </c>
    </row>
    <row r="108" spans="1:8" x14ac:dyDescent="0.3">
      <c r="A108" s="4" t="s">
        <v>535</v>
      </c>
      <c r="B108" s="5">
        <v>44893</v>
      </c>
      <c r="C108" s="6" t="s">
        <v>906</v>
      </c>
      <c r="D108" s="6" t="s">
        <v>199</v>
      </c>
      <c r="E108" s="6" t="s">
        <v>2503</v>
      </c>
      <c r="F108" s="6" t="s">
        <v>1208</v>
      </c>
      <c r="G108" s="7" t="str">
        <f>HYPERLINK("https://ovidsp.ovid.com/ovidweb.cgi?T=JS&amp;NEWS=n&amp;CSC=Y&amp;PAGE=booktext&amp;D=books&amp;SC=01434665&amp;EPUB=Y","https://ovidsp.ovid.com/ovidweb.cgi?T=JS&amp;NEWS=n&amp;CSC=Y&amp;PAGE=booktext&amp;D=books&amp;SC=01434665&amp;EPUB=Y")</f>
        <v>https://ovidsp.ovid.com/ovidweb.cgi?T=JS&amp;NEWS=n&amp;CSC=Y&amp;PAGE=booktext&amp;D=books&amp;SC=01434665&amp;EPUB=Y</v>
      </c>
      <c r="H108" s="8" t="s">
        <v>1795</v>
      </c>
    </row>
    <row r="109" spans="1:8" x14ac:dyDescent="0.3">
      <c r="A109" s="4" t="s">
        <v>951</v>
      </c>
      <c r="B109" s="5">
        <v>44893</v>
      </c>
      <c r="C109" s="6" t="s">
        <v>618</v>
      </c>
      <c r="D109" s="6" t="s">
        <v>1728</v>
      </c>
      <c r="E109" s="6" t="s">
        <v>2503</v>
      </c>
      <c r="F109" s="6" t="s">
        <v>1208</v>
      </c>
      <c r="G109" s="7" t="str">
        <f>HYPERLINK("https://ovidsp.ovid.com/ovidweb.cgi?T=JS&amp;NEWS=n&amp;CSC=Y&amp;PAGE=booktext&amp;D=books&amp;SC=01607896&amp;EPUB=Y","https://ovidsp.ovid.com/ovidweb.cgi?T=JS&amp;NEWS=n&amp;CSC=Y&amp;PAGE=booktext&amp;D=books&amp;SC=01607896&amp;EPUB=Y")</f>
        <v>https://ovidsp.ovid.com/ovidweb.cgi?T=JS&amp;NEWS=n&amp;CSC=Y&amp;PAGE=booktext&amp;D=books&amp;SC=01607896&amp;EPUB=Y</v>
      </c>
      <c r="H109" s="8" t="s">
        <v>1795</v>
      </c>
    </row>
    <row r="110" spans="1:8" x14ac:dyDescent="0.3">
      <c r="A110" s="4" t="s">
        <v>2409</v>
      </c>
      <c r="B110" s="5">
        <v>44893</v>
      </c>
      <c r="C110" s="6" t="s">
        <v>1446</v>
      </c>
      <c r="D110" s="6" t="s">
        <v>1330</v>
      </c>
      <c r="E110" s="6" t="s">
        <v>2503</v>
      </c>
      <c r="F110" s="6" t="s">
        <v>1208</v>
      </c>
      <c r="G110" s="7" t="str">
        <f>HYPERLINK("https://ovidsp.ovid.com/ovidweb.cgi?T=JS&amp;NEWS=n&amp;CSC=Y&amp;PAGE=booktext&amp;D=books&amp;SC=01626532&amp;EPUB=Y","https://ovidsp.ovid.com/ovidweb.cgi?T=JS&amp;NEWS=n&amp;CSC=Y&amp;PAGE=booktext&amp;D=books&amp;SC=01626532&amp;EPUB=Y")</f>
        <v>https://ovidsp.ovid.com/ovidweb.cgi?T=JS&amp;NEWS=n&amp;CSC=Y&amp;PAGE=booktext&amp;D=books&amp;SC=01626532&amp;EPUB=Y</v>
      </c>
      <c r="H110" s="8" t="s">
        <v>1795</v>
      </c>
    </row>
    <row r="111" spans="1:8" x14ac:dyDescent="0.3">
      <c r="A111" s="4" t="s">
        <v>13</v>
      </c>
      <c r="B111" s="5">
        <v>44893</v>
      </c>
      <c r="C111" s="6" t="s">
        <v>2367</v>
      </c>
      <c r="D111" s="6" t="s">
        <v>1643</v>
      </c>
      <c r="E111" s="6" t="s">
        <v>2503</v>
      </c>
      <c r="F111" s="6" t="s">
        <v>1208</v>
      </c>
      <c r="G111" s="7" t="str">
        <f>HYPERLINK("https://ovidsp.ovid.com/ovidweb.cgi?T=JS&amp;NEWS=n&amp;CSC=Y&amp;PAGE=booktext&amp;D=books&amp;SC=01434424&amp;EPUB=Y","https://ovidsp.ovid.com/ovidweb.cgi?T=JS&amp;NEWS=n&amp;CSC=Y&amp;PAGE=booktext&amp;D=books&amp;SC=01434424&amp;EPUB=Y")</f>
        <v>https://ovidsp.ovid.com/ovidweb.cgi?T=JS&amp;NEWS=n&amp;CSC=Y&amp;PAGE=booktext&amp;D=books&amp;SC=01434424&amp;EPUB=Y</v>
      </c>
      <c r="H111" s="8" t="s">
        <v>1795</v>
      </c>
    </row>
    <row r="112" spans="1:8" x14ac:dyDescent="0.3">
      <c r="A112" s="4" t="s">
        <v>35</v>
      </c>
      <c r="B112" s="5">
        <v>44893</v>
      </c>
      <c r="C112" s="6" t="s">
        <v>1449</v>
      </c>
      <c r="D112" s="6" t="s">
        <v>2173</v>
      </c>
      <c r="E112" s="6" t="s">
        <v>2503</v>
      </c>
      <c r="F112" s="6" t="s">
        <v>1208</v>
      </c>
      <c r="G112" s="7" t="str">
        <f>HYPERLINK("https://ovidsp.ovid.com/ovidweb.cgi?T=JS&amp;NEWS=n&amp;CSC=Y&amp;PAGE=booktext&amp;D=books&amp;SC=01434316&amp;EPUB=Y","https://ovidsp.ovid.com/ovidweb.cgi?T=JS&amp;NEWS=n&amp;CSC=Y&amp;PAGE=booktext&amp;D=books&amp;SC=01434316&amp;EPUB=Y")</f>
        <v>https://ovidsp.ovid.com/ovidweb.cgi?T=JS&amp;NEWS=n&amp;CSC=Y&amp;PAGE=booktext&amp;D=books&amp;SC=01434316&amp;EPUB=Y</v>
      </c>
      <c r="H112" s="8" t="s">
        <v>1795</v>
      </c>
    </row>
    <row r="113" spans="1:8" x14ac:dyDescent="0.3">
      <c r="A113" s="4" t="s">
        <v>210</v>
      </c>
      <c r="B113" s="5">
        <v>44893</v>
      </c>
      <c r="C113" s="6" t="s">
        <v>2367</v>
      </c>
      <c r="D113" s="6" t="s">
        <v>1643</v>
      </c>
      <c r="E113" s="6" t="s">
        <v>2503</v>
      </c>
      <c r="F113" s="6" t="s">
        <v>1208</v>
      </c>
      <c r="G113" s="7" t="str">
        <f>HYPERLINK("https://ovidsp.ovid.com/ovidweb.cgi?T=JS&amp;NEWS=n&amp;CSC=Y&amp;PAGE=booktext&amp;D=books&amp;SC=01434272&amp;EPUB=Y","https://ovidsp.ovid.com/ovidweb.cgi?T=JS&amp;NEWS=n&amp;CSC=Y&amp;PAGE=booktext&amp;D=books&amp;SC=01434272&amp;EPUB=Y")</f>
        <v>https://ovidsp.ovid.com/ovidweb.cgi?T=JS&amp;NEWS=n&amp;CSC=Y&amp;PAGE=booktext&amp;D=books&amp;SC=01434272&amp;EPUB=Y</v>
      </c>
      <c r="H113" s="8" t="s">
        <v>1795</v>
      </c>
    </row>
    <row r="114" spans="1:8" x14ac:dyDescent="0.3">
      <c r="A114" s="4" t="s">
        <v>399</v>
      </c>
      <c r="B114" s="5">
        <v>44893</v>
      </c>
      <c r="C114" s="6" t="s">
        <v>885</v>
      </c>
      <c r="D114" s="6" t="s">
        <v>1637</v>
      </c>
      <c r="E114" s="6" t="s">
        <v>2503</v>
      </c>
      <c r="F114" s="6" t="s">
        <v>1208</v>
      </c>
      <c r="G114" s="7" t="str">
        <f>HYPERLINK("https://ovidsp.ovid.com/ovidweb.cgi?T=JS&amp;NEWS=n&amp;CSC=Y&amp;PAGE=booktext&amp;D=books&amp;SC=01437914&amp;EPUB=Y","https://ovidsp.ovid.com/ovidweb.cgi?T=JS&amp;NEWS=n&amp;CSC=Y&amp;PAGE=booktext&amp;D=books&amp;SC=01437914&amp;EPUB=Y")</f>
        <v>https://ovidsp.ovid.com/ovidweb.cgi?T=JS&amp;NEWS=n&amp;CSC=Y&amp;PAGE=booktext&amp;D=books&amp;SC=01437914&amp;EPUB=Y</v>
      </c>
      <c r="H114" s="8" t="s">
        <v>1795</v>
      </c>
    </row>
    <row r="115" spans="1:8" x14ac:dyDescent="0.3">
      <c r="A115" s="4" t="s">
        <v>203</v>
      </c>
      <c r="B115" s="5">
        <v>44893</v>
      </c>
      <c r="C115" s="6" t="s">
        <v>2063</v>
      </c>
      <c r="D115" s="6" t="s">
        <v>430</v>
      </c>
      <c r="E115" s="6" t="s">
        <v>2503</v>
      </c>
      <c r="F115" s="6" t="s">
        <v>1208</v>
      </c>
      <c r="G115" s="7" t="str">
        <f>HYPERLINK("https://ovidsp.ovid.com/ovidweb.cgi?T=JS&amp;NEWS=n&amp;CSC=Y&amp;PAGE=booktext&amp;D=books&amp;SC=01434828&amp;EPUB=Y","https://ovidsp.ovid.com/ovidweb.cgi?T=JS&amp;NEWS=n&amp;CSC=Y&amp;PAGE=booktext&amp;D=books&amp;SC=01434828&amp;EPUB=Y")</f>
        <v>https://ovidsp.ovid.com/ovidweb.cgi?T=JS&amp;NEWS=n&amp;CSC=Y&amp;PAGE=booktext&amp;D=books&amp;SC=01434828&amp;EPUB=Y</v>
      </c>
      <c r="H115" s="8" t="s">
        <v>1795</v>
      </c>
    </row>
    <row r="116" spans="1:8" x14ac:dyDescent="0.3">
      <c r="A116" s="4" t="s">
        <v>2308</v>
      </c>
      <c r="B116" s="5">
        <v>44893</v>
      </c>
      <c r="C116" s="6" t="s">
        <v>2110</v>
      </c>
      <c r="D116" s="6" t="s">
        <v>1154</v>
      </c>
      <c r="E116" s="6" t="s">
        <v>2503</v>
      </c>
      <c r="F116" s="6" t="s">
        <v>1208</v>
      </c>
      <c r="G116" s="7" t="str">
        <f>HYPERLINK("https://ovidsp.ovid.com/ovidweb.cgi?T=JS&amp;NEWS=n&amp;CSC=Y&amp;PAGE=booktext&amp;D=books&amp;SC=02186178&amp;EPUB=Y","https://ovidsp.ovid.com/ovidweb.cgi?T=JS&amp;NEWS=n&amp;CSC=Y&amp;PAGE=booktext&amp;D=books&amp;SC=02186178&amp;EPUB=Y")</f>
        <v>https://ovidsp.ovid.com/ovidweb.cgi?T=JS&amp;NEWS=n&amp;CSC=Y&amp;PAGE=booktext&amp;D=books&amp;SC=02186178&amp;EPUB=Y</v>
      </c>
      <c r="H116" s="8" t="s">
        <v>1795</v>
      </c>
    </row>
    <row r="117" spans="1:8" x14ac:dyDescent="0.3">
      <c r="A117" s="4" t="s">
        <v>1962</v>
      </c>
      <c r="B117" s="5">
        <v>44893</v>
      </c>
      <c r="C117" s="6" t="s">
        <v>1509</v>
      </c>
      <c r="D117" s="6" t="s">
        <v>1485</v>
      </c>
      <c r="E117" s="6" t="s">
        <v>2503</v>
      </c>
      <c r="F117" s="6" t="s">
        <v>1208</v>
      </c>
      <c r="G117" s="7" t="str">
        <f>HYPERLINK("https://ovidsp.ovid.com/ovidweb.cgi?T=JS&amp;NEWS=n&amp;CSC=Y&amp;PAGE=booktext&amp;D=books&amp;SC=01861732&amp;EPUB=Y","https://ovidsp.ovid.com/ovidweb.cgi?T=JS&amp;NEWS=n&amp;CSC=Y&amp;PAGE=booktext&amp;D=books&amp;SC=01861732&amp;EPUB=Y")</f>
        <v>https://ovidsp.ovid.com/ovidweb.cgi?T=JS&amp;NEWS=n&amp;CSC=Y&amp;PAGE=booktext&amp;D=books&amp;SC=01861732&amp;EPUB=Y</v>
      </c>
      <c r="H117" s="8" t="s">
        <v>1795</v>
      </c>
    </row>
    <row r="118" spans="1:8" x14ac:dyDescent="0.3">
      <c r="A118" s="4" t="s">
        <v>1890</v>
      </c>
      <c r="B118" s="5">
        <v>44893</v>
      </c>
      <c r="C118" s="6" t="s">
        <v>2367</v>
      </c>
      <c r="D118" s="6" t="s">
        <v>1643</v>
      </c>
      <c r="E118" s="6" t="s">
        <v>2503</v>
      </c>
      <c r="F118" s="6" t="s">
        <v>1208</v>
      </c>
      <c r="G118" s="7" t="str">
        <f>HYPERLINK("https://ovidsp.ovid.com/ovidweb.cgi?T=JS&amp;NEWS=n&amp;CSC=Y&amp;PAGE=booktext&amp;D=books&amp;SC=01434395&amp;EPUB=Y","https://ovidsp.ovid.com/ovidweb.cgi?T=JS&amp;NEWS=n&amp;CSC=Y&amp;PAGE=booktext&amp;D=books&amp;SC=01434395&amp;EPUB=Y")</f>
        <v>https://ovidsp.ovid.com/ovidweb.cgi?T=JS&amp;NEWS=n&amp;CSC=Y&amp;PAGE=booktext&amp;D=books&amp;SC=01434395&amp;EPUB=Y</v>
      </c>
      <c r="H118" s="8" t="s">
        <v>1795</v>
      </c>
    </row>
    <row r="119" spans="1:8" x14ac:dyDescent="0.3">
      <c r="A119" s="4" t="s">
        <v>1094</v>
      </c>
      <c r="B119" s="5">
        <v>44893</v>
      </c>
      <c r="C119" s="6" t="s">
        <v>615</v>
      </c>
      <c r="D119" s="6" t="s">
        <v>1895</v>
      </c>
      <c r="E119" s="6" t="s">
        <v>2503</v>
      </c>
      <c r="F119" s="6" t="s">
        <v>1208</v>
      </c>
      <c r="G119" s="7" t="str">
        <f>HYPERLINK("https://ovidsp.ovid.com/ovidweb.cgi?T=JS&amp;NEWS=n&amp;CSC=Y&amp;PAGE=booktext&amp;D=books&amp;SC=02273863&amp;EPUB=Y","https://ovidsp.ovid.com/ovidweb.cgi?T=JS&amp;NEWS=n&amp;CSC=Y&amp;PAGE=booktext&amp;D=books&amp;SC=02273863&amp;EPUB=Y")</f>
        <v>https://ovidsp.ovid.com/ovidweb.cgi?T=JS&amp;NEWS=n&amp;CSC=Y&amp;PAGE=booktext&amp;D=books&amp;SC=02273863&amp;EPUB=Y</v>
      </c>
      <c r="H119" s="8" t="s">
        <v>1795</v>
      </c>
    </row>
    <row r="120" spans="1:8" x14ac:dyDescent="0.3">
      <c r="A120" s="4" t="s">
        <v>2096</v>
      </c>
      <c r="B120" s="5">
        <v>44893</v>
      </c>
      <c r="C120" s="6" t="s">
        <v>749</v>
      </c>
      <c r="D120" s="6" t="s">
        <v>1313</v>
      </c>
      <c r="E120" s="6" t="s">
        <v>2503</v>
      </c>
      <c r="F120" s="6" t="s">
        <v>1208</v>
      </c>
      <c r="G120" s="7" t="str">
        <f>HYPERLINK("https://ovidsp.ovid.com/ovidweb.cgi?T=JS&amp;NEWS=n&amp;CSC=Y&amp;PAGE=booktext&amp;D=books&amp;SC=01434585&amp;EPUB=Y","https://ovidsp.ovid.com/ovidweb.cgi?T=JS&amp;NEWS=n&amp;CSC=Y&amp;PAGE=booktext&amp;D=books&amp;SC=01434585&amp;EPUB=Y")</f>
        <v>https://ovidsp.ovid.com/ovidweb.cgi?T=JS&amp;NEWS=n&amp;CSC=Y&amp;PAGE=booktext&amp;D=books&amp;SC=01434585&amp;EPUB=Y</v>
      </c>
      <c r="H120" s="8" t="s">
        <v>1795</v>
      </c>
    </row>
    <row r="121" spans="1:8" x14ac:dyDescent="0.3">
      <c r="A121" s="4" t="s">
        <v>837</v>
      </c>
      <c r="B121" s="5">
        <v>44893</v>
      </c>
      <c r="C121" s="6" t="s">
        <v>2367</v>
      </c>
      <c r="D121" s="6" t="s">
        <v>1643</v>
      </c>
      <c r="E121" s="6" t="s">
        <v>2503</v>
      </c>
      <c r="F121" s="6" t="s">
        <v>1208</v>
      </c>
      <c r="G121" s="7" t="str">
        <f>HYPERLINK("https://ovidsp.ovid.com/ovidweb.cgi?T=JS&amp;NEWS=n&amp;CSC=Y&amp;PAGE=booktext&amp;D=books&amp;SC=01434456&amp;EPUB=Y","https://ovidsp.ovid.com/ovidweb.cgi?T=JS&amp;NEWS=n&amp;CSC=Y&amp;PAGE=booktext&amp;D=books&amp;SC=01434456&amp;EPUB=Y")</f>
        <v>https://ovidsp.ovid.com/ovidweb.cgi?T=JS&amp;NEWS=n&amp;CSC=Y&amp;PAGE=booktext&amp;D=books&amp;SC=01434456&amp;EPUB=Y</v>
      </c>
      <c r="H121" s="8" t="s">
        <v>1795</v>
      </c>
    </row>
    <row r="122" spans="1:8" x14ac:dyDescent="0.3">
      <c r="A122" s="4" t="s">
        <v>1230</v>
      </c>
      <c r="B122" s="5">
        <v>44893</v>
      </c>
      <c r="C122" s="6" t="s">
        <v>2302</v>
      </c>
      <c r="D122" s="6" t="s">
        <v>1576</v>
      </c>
      <c r="E122" s="6" t="s">
        <v>2503</v>
      </c>
      <c r="F122" s="6" t="s">
        <v>1208</v>
      </c>
      <c r="G122" s="7" t="str">
        <f>HYPERLINK("https://ovidsp.ovid.com/ovidweb.cgi?T=JS&amp;NEWS=n&amp;CSC=Y&amp;PAGE=booktext&amp;D=books&amp;SC=01984724&amp;EPUB=Y","https://ovidsp.ovid.com/ovidweb.cgi?T=JS&amp;NEWS=n&amp;CSC=Y&amp;PAGE=booktext&amp;D=books&amp;SC=01984724&amp;EPUB=Y")</f>
        <v>https://ovidsp.ovid.com/ovidweb.cgi?T=JS&amp;NEWS=n&amp;CSC=Y&amp;PAGE=booktext&amp;D=books&amp;SC=01984724&amp;EPUB=Y</v>
      </c>
      <c r="H122" s="8" t="s">
        <v>1795</v>
      </c>
    </row>
    <row r="123" spans="1:8" x14ac:dyDescent="0.3">
      <c r="A123" s="4" t="s">
        <v>2252</v>
      </c>
      <c r="B123" s="5">
        <v>44893</v>
      </c>
      <c r="C123" s="6" t="s">
        <v>2367</v>
      </c>
      <c r="D123" s="6" t="s">
        <v>1643</v>
      </c>
      <c r="E123" s="6" t="s">
        <v>2503</v>
      </c>
      <c r="F123" s="6" t="s">
        <v>1208</v>
      </c>
      <c r="G123" s="7" t="str">
        <f>HYPERLINK("https://ovidsp.ovid.com/ovidweb.cgi?T=JS&amp;NEWS=n&amp;CSC=Y&amp;PAGE=booktext&amp;D=books&amp;SC=01434317&amp;EPUB=Y","https://ovidsp.ovid.com/ovidweb.cgi?T=JS&amp;NEWS=n&amp;CSC=Y&amp;PAGE=booktext&amp;D=books&amp;SC=01434317&amp;EPUB=Y")</f>
        <v>https://ovidsp.ovid.com/ovidweb.cgi?T=JS&amp;NEWS=n&amp;CSC=Y&amp;PAGE=booktext&amp;D=books&amp;SC=01434317&amp;EPUB=Y</v>
      </c>
      <c r="H123" s="8" t="s">
        <v>1795</v>
      </c>
    </row>
    <row r="124" spans="1:8" x14ac:dyDescent="0.3">
      <c r="A124" s="4" t="s">
        <v>1725</v>
      </c>
      <c r="B124" s="5">
        <v>44893</v>
      </c>
      <c r="C124" s="6" t="s">
        <v>2367</v>
      </c>
      <c r="D124" s="6" t="s">
        <v>1643</v>
      </c>
      <c r="E124" s="6" t="s">
        <v>2503</v>
      </c>
      <c r="F124" s="6" t="s">
        <v>1208</v>
      </c>
      <c r="G124" s="7" t="str">
        <f>HYPERLINK("https://ovidsp.ovid.com/ovidweb.cgi?T=JS&amp;NEWS=n&amp;CSC=Y&amp;PAGE=booktext&amp;D=books&amp;SC=01434297&amp;EPUB=Y","https://ovidsp.ovid.com/ovidweb.cgi?T=JS&amp;NEWS=n&amp;CSC=Y&amp;PAGE=booktext&amp;D=books&amp;SC=01434297&amp;EPUB=Y")</f>
        <v>https://ovidsp.ovid.com/ovidweb.cgi?T=JS&amp;NEWS=n&amp;CSC=Y&amp;PAGE=booktext&amp;D=books&amp;SC=01434297&amp;EPUB=Y</v>
      </c>
      <c r="H124" s="8" t="s">
        <v>1795</v>
      </c>
    </row>
    <row r="125" spans="1:8" x14ac:dyDescent="0.3">
      <c r="A125" s="4" t="s">
        <v>2089</v>
      </c>
      <c r="B125" s="5">
        <v>44893</v>
      </c>
      <c r="C125" s="6" t="s">
        <v>27</v>
      </c>
      <c r="D125" s="6" t="s">
        <v>1319</v>
      </c>
      <c r="E125" s="6" t="s">
        <v>2503</v>
      </c>
      <c r="F125" s="6" t="s">
        <v>1208</v>
      </c>
      <c r="G125" s="7" t="str">
        <f>HYPERLINK("https://ovidsp.ovid.com/ovidweb.cgi?T=JS&amp;NEWS=n&amp;CSC=Y&amp;PAGE=booktext&amp;D=books&amp;SC=02054257&amp;EPUB=Y","https://ovidsp.ovid.com/ovidweb.cgi?T=JS&amp;NEWS=n&amp;CSC=Y&amp;PAGE=booktext&amp;D=books&amp;SC=02054257&amp;EPUB=Y")</f>
        <v>https://ovidsp.ovid.com/ovidweb.cgi?T=JS&amp;NEWS=n&amp;CSC=Y&amp;PAGE=booktext&amp;D=books&amp;SC=02054257&amp;EPUB=Y</v>
      </c>
      <c r="H125" s="8" t="s">
        <v>1795</v>
      </c>
    </row>
    <row r="126" spans="1:8" x14ac:dyDescent="0.3">
      <c r="A126" s="4" t="s">
        <v>802</v>
      </c>
      <c r="B126" s="5">
        <v>44893</v>
      </c>
      <c r="C126" s="6" t="s">
        <v>2269</v>
      </c>
      <c r="D126" s="6" t="s">
        <v>1118</v>
      </c>
      <c r="E126" s="6" t="s">
        <v>2503</v>
      </c>
      <c r="F126" s="6" t="s">
        <v>241</v>
      </c>
      <c r="G126" s="7" t="str">
        <f>HYPERLINK("https://ovidsp.ovid.com/ovidweb.cgi?T=JS&amp;NEWS=n&amp;CSC=Y&amp;PAGE=booktext&amp;D=books&amp;SC=02091987&amp;EPUB=Y","https://ovidsp.ovid.com/ovidweb.cgi?T=JS&amp;NEWS=n&amp;CSC=Y&amp;PAGE=booktext&amp;D=books&amp;SC=02091987&amp;EPUB=Y")</f>
        <v>https://ovidsp.ovid.com/ovidweb.cgi?T=JS&amp;NEWS=n&amp;CSC=Y&amp;PAGE=booktext&amp;D=books&amp;SC=02091987&amp;EPUB=Y</v>
      </c>
      <c r="H126" s="8" t="s">
        <v>1795</v>
      </c>
    </row>
    <row r="127" spans="1:8" x14ac:dyDescent="0.3">
      <c r="A127" s="4" t="s">
        <v>802</v>
      </c>
      <c r="B127" s="5">
        <v>44893</v>
      </c>
      <c r="C127" s="6" t="s">
        <v>2418</v>
      </c>
      <c r="D127" s="6" t="s">
        <v>961</v>
      </c>
      <c r="E127" s="6" t="s">
        <v>2503</v>
      </c>
      <c r="F127" s="6" t="s">
        <v>1208</v>
      </c>
      <c r="G127" s="7" t="str">
        <f>HYPERLINK("https://ovidsp.ovid.com/ovidweb.cgi?T=JS&amp;NEWS=n&amp;CSC=Y&amp;PAGE=booktext&amp;D=books&amp;SC=01631691&amp;EPUB=Y","https://ovidsp.ovid.com/ovidweb.cgi?T=JS&amp;NEWS=n&amp;CSC=Y&amp;PAGE=booktext&amp;D=books&amp;SC=01631691&amp;EPUB=Y")</f>
        <v>https://ovidsp.ovid.com/ovidweb.cgi?T=JS&amp;NEWS=n&amp;CSC=Y&amp;PAGE=booktext&amp;D=books&amp;SC=01631691&amp;EPUB=Y</v>
      </c>
      <c r="H127" s="8" t="s">
        <v>1795</v>
      </c>
    </row>
    <row r="128" spans="1:8" x14ac:dyDescent="0.3">
      <c r="A128" s="4" t="s">
        <v>967</v>
      </c>
      <c r="B128" s="5">
        <v>44893</v>
      </c>
      <c r="C128" s="6" t="s">
        <v>2367</v>
      </c>
      <c r="D128" s="6" t="s">
        <v>1643</v>
      </c>
      <c r="E128" s="6" t="s">
        <v>2503</v>
      </c>
      <c r="F128" s="6" t="s">
        <v>1208</v>
      </c>
      <c r="G128" s="7" t="str">
        <f>HYPERLINK("https://ovidsp.ovid.com/ovidweb.cgi?T=JS&amp;NEWS=n&amp;CSC=Y&amp;PAGE=booktext&amp;D=books&amp;SC=01434458&amp;EPUB=Y","https://ovidsp.ovid.com/ovidweb.cgi?T=JS&amp;NEWS=n&amp;CSC=Y&amp;PAGE=booktext&amp;D=books&amp;SC=01434458&amp;EPUB=Y")</f>
        <v>https://ovidsp.ovid.com/ovidweb.cgi?T=JS&amp;NEWS=n&amp;CSC=Y&amp;PAGE=booktext&amp;D=books&amp;SC=01434458&amp;EPUB=Y</v>
      </c>
      <c r="H128" s="8" t="s">
        <v>1795</v>
      </c>
    </row>
    <row r="129" spans="1:8" x14ac:dyDescent="0.3">
      <c r="A129" s="4" t="s">
        <v>1761</v>
      </c>
      <c r="B129" s="5">
        <v>44893</v>
      </c>
      <c r="C129" s="6" t="s">
        <v>2395</v>
      </c>
      <c r="D129" s="6" t="s">
        <v>281</v>
      </c>
      <c r="E129" s="6" t="s">
        <v>2503</v>
      </c>
      <c r="F129" s="6" t="s">
        <v>1208</v>
      </c>
      <c r="G129" s="7" t="str">
        <f>HYPERLINK("https://ovidsp.ovid.com/ovidweb.cgi?T=JS&amp;NEWS=n&amp;CSC=Y&amp;PAGE=booktext&amp;D=books&amp;SC=02081101&amp;EPUB=Y","https://ovidsp.ovid.com/ovidweb.cgi?T=JS&amp;NEWS=n&amp;CSC=Y&amp;PAGE=booktext&amp;D=books&amp;SC=02081101&amp;EPUB=Y")</f>
        <v>https://ovidsp.ovid.com/ovidweb.cgi?T=JS&amp;NEWS=n&amp;CSC=Y&amp;PAGE=booktext&amp;D=books&amp;SC=02081101&amp;EPUB=Y</v>
      </c>
      <c r="H129" s="8" t="s">
        <v>1795</v>
      </c>
    </row>
    <row r="130" spans="1:8" x14ac:dyDescent="0.3">
      <c r="A130" s="4" t="s">
        <v>2042</v>
      </c>
      <c r="B130" s="5">
        <v>44893</v>
      </c>
      <c r="C130" s="6" t="s">
        <v>1765</v>
      </c>
      <c r="D130" s="6" t="s">
        <v>2176</v>
      </c>
      <c r="E130" s="6" t="s">
        <v>2503</v>
      </c>
      <c r="F130" s="6" t="s">
        <v>1208</v>
      </c>
      <c r="G130" s="7" t="str">
        <f>HYPERLINK("https://ovidsp.ovid.com/ovidweb.cgi?T=JS&amp;NEWS=n&amp;CSC=Y&amp;PAGE=booktext&amp;D=books&amp;SC=01899939&amp;EPUB=Y","https://ovidsp.ovid.com/ovidweb.cgi?T=JS&amp;NEWS=n&amp;CSC=Y&amp;PAGE=booktext&amp;D=books&amp;SC=01899939&amp;EPUB=Y")</f>
        <v>https://ovidsp.ovid.com/ovidweb.cgi?T=JS&amp;NEWS=n&amp;CSC=Y&amp;PAGE=booktext&amp;D=books&amp;SC=01899939&amp;EPUB=Y</v>
      </c>
      <c r="H130" s="8" t="s">
        <v>1795</v>
      </c>
    </row>
    <row r="131" spans="1:8" x14ac:dyDescent="0.3">
      <c r="A131" s="4" t="s">
        <v>1324</v>
      </c>
      <c r="B131" s="5">
        <v>44893</v>
      </c>
      <c r="C131" s="6" t="s">
        <v>1400</v>
      </c>
      <c r="D131" s="6" t="s">
        <v>587</v>
      </c>
      <c r="E131" s="6" t="s">
        <v>2503</v>
      </c>
      <c r="F131" s="6" t="s">
        <v>1208</v>
      </c>
      <c r="G131" s="7" t="str">
        <f>HYPERLINK("https://ovidsp.ovid.com/ovidweb.cgi?T=JS&amp;NEWS=n&amp;CSC=Y&amp;PAGE=booktext&amp;D=books&amp;SC=01990635&amp;EPUB=Y","https://ovidsp.ovid.com/ovidweb.cgi?T=JS&amp;NEWS=n&amp;CSC=Y&amp;PAGE=booktext&amp;D=books&amp;SC=01990635&amp;EPUB=Y")</f>
        <v>https://ovidsp.ovid.com/ovidweb.cgi?T=JS&amp;NEWS=n&amp;CSC=Y&amp;PAGE=booktext&amp;D=books&amp;SC=01990635&amp;EPUB=Y</v>
      </c>
      <c r="H131" s="8" t="s">
        <v>1795</v>
      </c>
    </row>
    <row r="132" spans="1:8" x14ac:dyDescent="0.3">
      <c r="A132" s="4" t="s">
        <v>681</v>
      </c>
      <c r="B132" s="5">
        <v>44893</v>
      </c>
      <c r="C132" s="6" t="s">
        <v>441</v>
      </c>
      <c r="D132" s="6" t="s">
        <v>2177</v>
      </c>
      <c r="E132" s="6" t="s">
        <v>2503</v>
      </c>
      <c r="F132" s="6" t="s">
        <v>619</v>
      </c>
      <c r="G132" s="7" t="str">
        <f>HYPERLINK("https://ovidsp.ovid.com/ovidweb.cgi?T=JS&amp;NEWS=n&amp;CSC=Y&amp;PAGE=booktext&amp;D=books&amp;SC=01438233&amp;EPUB=Y","https://ovidsp.ovid.com/ovidweb.cgi?T=JS&amp;NEWS=n&amp;CSC=Y&amp;PAGE=booktext&amp;D=books&amp;SC=01438233&amp;EPUB=Y")</f>
        <v>https://ovidsp.ovid.com/ovidweb.cgi?T=JS&amp;NEWS=n&amp;CSC=Y&amp;PAGE=booktext&amp;D=books&amp;SC=01438233&amp;EPUB=Y</v>
      </c>
      <c r="H132" s="8" t="s">
        <v>1795</v>
      </c>
    </row>
    <row r="133" spans="1:8" x14ac:dyDescent="0.3">
      <c r="A133" s="4" t="s">
        <v>857</v>
      </c>
      <c r="B133" s="5">
        <v>44893</v>
      </c>
      <c r="C133" s="6" t="s">
        <v>660</v>
      </c>
      <c r="D133" s="6" t="s">
        <v>1182</v>
      </c>
      <c r="E133" s="6" t="s">
        <v>2503</v>
      </c>
      <c r="F133" s="6" t="s">
        <v>1208</v>
      </c>
      <c r="G133" s="7" t="str">
        <f>HYPERLINK("https://ovidsp.ovid.com/ovidweb.cgi?T=JS&amp;NEWS=n&amp;CSC=Y&amp;PAGE=booktext&amp;D=books&amp;SC=02272666&amp;EPUB=Y","https://ovidsp.ovid.com/ovidweb.cgi?T=JS&amp;NEWS=n&amp;CSC=Y&amp;PAGE=booktext&amp;D=books&amp;SC=02272666&amp;EPUB=Y")</f>
        <v>https://ovidsp.ovid.com/ovidweb.cgi?T=JS&amp;NEWS=n&amp;CSC=Y&amp;PAGE=booktext&amp;D=books&amp;SC=02272666&amp;EPUB=Y</v>
      </c>
      <c r="H133" s="8" t="s">
        <v>1795</v>
      </c>
    </row>
    <row r="134" spans="1:8" x14ac:dyDescent="0.3">
      <c r="A134" s="4" t="s">
        <v>892</v>
      </c>
      <c r="B134" s="5">
        <v>44893</v>
      </c>
      <c r="C134" s="6" t="s">
        <v>1086</v>
      </c>
      <c r="D134" s="6" t="s">
        <v>2247</v>
      </c>
      <c r="E134" s="6" t="s">
        <v>2503</v>
      </c>
      <c r="F134" s="6" t="s">
        <v>1208</v>
      </c>
      <c r="G134" s="7" t="str">
        <f>HYPERLINK("https://ovidsp.ovid.com/ovidweb.cgi?T=JS&amp;NEWS=n&amp;CSC=Y&amp;PAGE=booktext&amp;D=books&amp;SC=02091940&amp;EPUB=Y","https://ovidsp.ovid.com/ovidweb.cgi?T=JS&amp;NEWS=n&amp;CSC=Y&amp;PAGE=booktext&amp;D=books&amp;SC=02091940&amp;EPUB=Y")</f>
        <v>https://ovidsp.ovid.com/ovidweb.cgi?T=JS&amp;NEWS=n&amp;CSC=Y&amp;PAGE=booktext&amp;D=books&amp;SC=02091940&amp;EPUB=Y</v>
      </c>
      <c r="H134" s="8" t="s">
        <v>1795</v>
      </c>
    </row>
    <row r="135" spans="1:8" x14ac:dyDescent="0.3">
      <c r="A135" s="4" t="s">
        <v>1005</v>
      </c>
      <c r="B135" s="5">
        <v>44893</v>
      </c>
      <c r="C135" s="6" t="s">
        <v>1369</v>
      </c>
      <c r="D135" s="6" t="s">
        <v>1215</v>
      </c>
      <c r="E135" s="6" t="s">
        <v>2503</v>
      </c>
      <c r="F135" s="6" t="s">
        <v>1208</v>
      </c>
      <c r="G135" s="7" t="str">
        <f>HYPERLINK("https://ovidsp.ovid.com/ovidweb.cgi?T=JS&amp;NEWS=n&amp;CSC=Y&amp;PAGE=booktext&amp;D=books&amp;SC=01884386&amp;EPUB=Y","https://ovidsp.ovid.com/ovidweb.cgi?T=JS&amp;NEWS=n&amp;CSC=Y&amp;PAGE=booktext&amp;D=books&amp;SC=01884386&amp;EPUB=Y")</f>
        <v>https://ovidsp.ovid.com/ovidweb.cgi?T=JS&amp;NEWS=n&amp;CSC=Y&amp;PAGE=booktext&amp;D=books&amp;SC=01884386&amp;EPUB=Y</v>
      </c>
      <c r="H135" s="8" t="s">
        <v>1795</v>
      </c>
    </row>
    <row r="136" spans="1:8" x14ac:dyDescent="0.3">
      <c r="A136" s="4" t="s">
        <v>1487</v>
      </c>
      <c r="B136" s="5">
        <v>44893</v>
      </c>
      <c r="C136" s="6" t="s">
        <v>527</v>
      </c>
      <c r="D136" s="6" t="s">
        <v>1193</v>
      </c>
      <c r="E136" s="6" t="s">
        <v>2503</v>
      </c>
      <c r="F136" s="6" t="s">
        <v>1208</v>
      </c>
      <c r="G136" s="7" t="str">
        <f>HYPERLINK("https://ovidsp.ovid.com/ovidweb.cgi?T=JS&amp;NEWS=n&amp;CSC=Y&amp;PAGE=booktext&amp;D=books&amp;SC=01434629&amp;EPUB=Y","https://ovidsp.ovid.com/ovidweb.cgi?T=JS&amp;NEWS=n&amp;CSC=Y&amp;PAGE=booktext&amp;D=books&amp;SC=01434629&amp;EPUB=Y")</f>
        <v>https://ovidsp.ovid.com/ovidweb.cgi?T=JS&amp;NEWS=n&amp;CSC=Y&amp;PAGE=booktext&amp;D=books&amp;SC=01434629&amp;EPUB=Y</v>
      </c>
      <c r="H136" s="8" t="s">
        <v>1795</v>
      </c>
    </row>
    <row r="137" spans="1:8" x14ac:dyDescent="0.3">
      <c r="A137" s="4" t="s">
        <v>813</v>
      </c>
      <c r="B137" s="5">
        <v>44893</v>
      </c>
      <c r="C137" s="6" t="s">
        <v>1405</v>
      </c>
      <c r="D137" s="6" t="s">
        <v>632</v>
      </c>
      <c r="E137" s="6" t="s">
        <v>2503</v>
      </c>
      <c r="F137" s="6" t="s">
        <v>1208</v>
      </c>
      <c r="G137" s="7" t="str">
        <f>HYPERLINK("https://ovidsp.ovid.com/ovidweb.cgi?T=JS&amp;NEWS=n&amp;CSC=Y&amp;PAGE=booktext&amp;D=books&amp;SC=02148827&amp;EPUB=Y","https://ovidsp.ovid.com/ovidweb.cgi?T=JS&amp;NEWS=n&amp;CSC=Y&amp;PAGE=booktext&amp;D=books&amp;SC=02148827&amp;EPUB=Y")</f>
        <v>https://ovidsp.ovid.com/ovidweb.cgi?T=JS&amp;NEWS=n&amp;CSC=Y&amp;PAGE=booktext&amp;D=books&amp;SC=02148827&amp;EPUB=Y</v>
      </c>
      <c r="H137" s="8" t="s">
        <v>1795</v>
      </c>
    </row>
    <row r="138" spans="1:8" x14ac:dyDescent="0.3">
      <c r="A138" s="4" t="s">
        <v>2125</v>
      </c>
      <c r="B138" s="5">
        <v>44893</v>
      </c>
      <c r="C138" s="6" t="s">
        <v>543</v>
      </c>
      <c r="D138" s="6" t="s">
        <v>31</v>
      </c>
      <c r="E138" s="6" t="s">
        <v>2503</v>
      </c>
      <c r="F138" s="6" t="s">
        <v>1208</v>
      </c>
      <c r="G138" s="7" t="str">
        <f>HYPERLINK("https://ovidsp.ovid.com/ovidweb.cgi?T=JS&amp;NEWS=n&amp;CSC=Y&amp;PAGE=booktext&amp;D=books&amp;SC=01626539&amp;EPUB=Y","https://ovidsp.ovid.com/ovidweb.cgi?T=JS&amp;NEWS=n&amp;CSC=Y&amp;PAGE=booktext&amp;D=books&amp;SC=01626539&amp;EPUB=Y")</f>
        <v>https://ovidsp.ovid.com/ovidweb.cgi?T=JS&amp;NEWS=n&amp;CSC=Y&amp;PAGE=booktext&amp;D=books&amp;SC=01626539&amp;EPUB=Y</v>
      </c>
      <c r="H138" s="8" t="s">
        <v>1795</v>
      </c>
    </row>
    <row r="139" spans="1:8" x14ac:dyDescent="0.3">
      <c r="A139" s="4" t="s">
        <v>979</v>
      </c>
      <c r="B139" s="5">
        <v>44893</v>
      </c>
      <c r="C139" s="6" t="s">
        <v>1259</v>
      </c>
      <c r="D139" s="6" t="s">
        <v>626</v>
      </c>
      <c r="E139" s="6" t="s">
        <v>2503</v>
      </c>
      <c r="F139" s="6" t="s">
        <v>1208</v>
      </c>
      <c r="G139" s="7" t="str">
        <f>HYPERLINK("https://ovidsp.ovid.com/ovidweb.cgi?T=JS&amp;NEWS=n&amp;CSC=Y&amp;PAGE=booktext&amp;D=books&amp;SC=02273593&amp;EPUB=Y","https://ovidsp.ovid.com/ovidweb.cgi?T=JS&amp;NEWS=n&amp;CSC=Y&amp;PAGE=booktext&amp;D=books&amp;SC=02273593&amp;EPUB=Y")</f>
        <v>https://ovidsp.ovid.com/ovidweb.cgi?T=JS&amp;NEWS=n&amp;CSC=Y&amp;PAGE=booktext&amp;D=books&amp;SC=02273593&amp;EPUB=Y</v>
      </c>
      <c r="H139" s="8" t="s">
        <v>1795</v>
      </c>
    </row>
    <row r="140" spans="1:8" x14ac:dyDescent="0.3">
      <c r="A140" s="4" t="s">
        <v>1295</v>
      </c>
      <c r="B140" s="5">
        <v>44893</v>
      </c>
      <c r="C140" s="6" t="s">
        <v>1522</v>
      </c>
      <c r="D140" s="6" t="s">
        <v>1493</v>
      </c>
      <c r="E140" s="6" t="s">
        <v>2503</v>
      </c>
      <c r="F140" s="6" t="s">
        <v>1208</v>
      </c>
      <c r="G140" s="7" t="str">
        <f>HYPERLINK("https://ovidsp.ovid.com/ovidweb.cgi?T=JS&amp;NEWS=n&amp;CSC=Y&amp;PAGE=booktext&amp;D=books&amp;SC=01714655&amp;EPUB=Y","https://ovidsp.ovid.com/ovidweb.cgi?T=JS&amp;NEWS=n&amp;CSC=Y&amp;PAGE=booktext&amp;D=books&amp;SC=01714655&amp;EPUB=Y")</f>
        <v>https://ovidsp.ovid.com/ovidweb.cgi?T=JS&amp;NEWS=n&amp;CSC=Y&amp;PAGE=booktext&amp;D=books&amp;SC=01714655&amp;EPUB=Y</v>
      </c>
      <c r="H140" s="8" t="s">
        <v>1795</v>
      </c>
    </row>
    <row r="141" spans="1:8" x14ac:dyDescent="0.3">
      <c r="A141" s="4" t="s">
        <v>100</v>
      </c>
      <c r="B141" s="5">
        <v>44893</v>
      </c>
      <c r="C141" s="6" t="s">
        <v>2396</v>
      </c>
      <c r="D141" s="6" t="s">
        <v>1359</v>
      </c>
      <c r="E141" s="6" t="s">
        <v>2503</v>
      </c>
      <c r="F141" s="6" t="s">
        <v>1208</v>
      </c>
      <c r="G141" s="7" t="str">
        <f>HYPERLINK("https://ovidsp.ovid.com/ovidweb.cgi?T=JS&amp;NEWS=n&amp;CSC=Y&amp;PAGE=booktext&amp;D=books&amp;SC=01838254&amp;EPUB=Y","https://ovidsp.ovid.com/ovidweb.cgi?T=JS&amp;NEWS=n&amp;CSC=Y&amp;PAGE=booktext&amp;D=books&amp;SC=01838254&amp;EPUB=Y")</f>
        <v>https://ovidsp.ovid.com/ovidweb.cgi?T=JS&amp;NEWS=n&amp;CSC=Y&amp;PAGE=booktext&amp;D=books&amp;SC=01838254&amp;EPUB=Y</v>
      </c>
      <c r="H141" s="8" t="s">
        <v>1795</v>
      </c>
    </row>
    <row r="142" spans="1:8" x14ac:dyDescent="0.3">
      <c r="A142" s="4" t="s">
        <v>103</v>
      </c>
      <c r="B142" s="5">
        <v>44893</v>
      </c>
      <c r="C142" s="6" t="s">
        <v>2367</v>
      </c>
      <c r="D142" s="6" t="s">
        <v>1643</v>
      </c>
      <c r="E142" s="6" t="s">
        <v>2503</v>
      </c>
      <c r="F142" s="6" t="s">
        <v>1208</v>
      </c>
      <c r="G142" s="7" t="str">
        <f>HYPERLINK("https://ovidsp.ovid.com/ovidweb.cgi?T=JS&amp;NEWS=n&amp;CSC=Y&amp;PAGE=booktext&amp;D=books&amp;SC=01434241&amp;EPUB=Y","https://ovidsp.ovid.com/ovidweb.cgi?T=JS&amp;NEWS=n&amp;CSC=Y&amp;PAGE=booktext&amp;D=books&amp;SC=01434241&amp;EPUB=Y")</f>
        <v>https://ovidsp.ovid.com/ovidweb.cgi?T=JS&amp;NEWS=n&amp;CSC=Y&amp;PAGE=booktext&amp;D=books&amp;SC=01434241&amp;EPUB=Y</v>
      </c>
      <c r="H142" s="8" t="s">
        <v>1795</v>
      </c>
    </row>
    <row r="143" spans="1:8" x14ac:dyDescent="0.3">
      <c r="A143" s="4" t="s">
        <v>309</v>
      </c>
      <c r="B143" s="5">
        <v>44893</v>
      </c>
      <c r="C143" s="6" t="s">
        <v>462</v>
      </c>
      <c r="D143" s="6" t="s">
        <v>2121</v>
      </c>
      <c r="E143" s="6" t="s">
        <v>2503</v>
      </c>
      <c r="F143" s="6" t="s">
        <v>1208</v>
      </c>
      <c r="G143" s="7" t="str">
        <f>HYPERLINK("https://ovidsp.ovid.com/ovidweb.cgi?T=JS&amp;NEWS=n&amp;CSC=Y&amp;PAGE=booktext&amp;D=books&amp;SC=02070828&amp;EPUB=Y","https://ovidsp.ovid.com/ovidweb.cgi?T=JS&amp;NEWS=n&amp;CSC=Y&amp;PAGE=booktext&amp;D=books&amp;SC=02070828&amp;EPUB=Y")</f>
        <v>https://ovidsp.ovid.com/ovidweb.cgi?T=JS&amp;NEWS=n&amp;CSC=Y&amp;PAGE=booktext&amp;D=books&amp;SC=02070828&amp;EPUB=Y</v>
      </c>
      <c r="H143" s="8" t="s">
        <v>1795</v>
      </c>
    </row>
    <row r="144" spans="1:8" x14ac:dyDescent="0.3">
      <c r="A144" s="4" t="s">
        <v>1916</v>
      </c>
      <c r="B144" s="5">
        <v>44893</v>
      </c>
      <c r="C144" s="6" t="s">
        <v>2367</v>
      </c>
      <c r="D144" s="6" t="s">
        <v>1643</v>
      </c>
      <c r="E144" s="6" t="s">
        <v>2503</v>
      </c>
      <c r="F144" s="6" t="s">
        <v>1208</v>
      </c>
      <c r="G144" s="7" t="str">
        <f>HYPERLINK("https://ovidsp.ovid.com/ovidweb.cgi?T=JS&amp;NEWS=n&amp;CSC=Y&amp;PAGE=booktext&amp;D=books&amp;SC=01434243&amp;EPUB=Y","https://ovidsp.ovid.com/ovidweb.cgi?T=JS&amp;NEWS=n&amp;CSC=Y&amp;PAGE=booktext&amp;D=books&amp;SC=01434243&amp;EPUB=Y")</f>
        <v>https://ovidsp.ovid.com/ovidweb.cgi?T=JS&amp;NEWS=n&amp;CSC=Y&amp;PAGE=booktext&amp;D=books&amp;SC=01434243&amp;EPUB=Y</v>
      </c>
      <c r="H144" s="8" t="s">
        <v>1795</v>
      </c>
    </row>
    <row r="145" spans="1:8" x14ac:dyDescent="0.3">
      <c r="A145" s="4" t="s">
        <v>788</v>
      </c>
      <c r="B145" s="5">
        <v>44893</v>
      </c>
      <c r="C145" s="6" t="s">
        <v>1555</v>
      </c>
      <c r="D145" s="6" t="s">
        <v>273</v>
      </c>
      <c r="E145" s="6" t="s">
        <v>2503</v>
      </c>
      <c r="F145" s="6" t="s">
        <v>241</v>
      </c>
      <c r="G145" s="7" t="str">
        <f>HYPERLINK("https://ovidsp.ovid.com/ovidweb.cgi?T=JS&amp;NEWS=n&amp;CSC=Y&amp;PAGE=booktext&amp;D=books&amp;SC=02211076&amp;EPUB=Y","https://ovidsp.ovid.com/ovidweb.cgi?T=JS&amp;NEWS=n&amp;CSC=Y&amp;PAGE=booktext&amp;D=books&amp;SC=02211076&amp;EPUB=Y")</f>
        <v>https://ovidsp.ovid.com/ovidweb.cgi?T=JS&amp;NEWS=n&amp;CSC=Y&amp;PAGE=booktext&amp;D=books&amp;SC=02211076&amp;EPUB=Y</v>
      </c>
      <c r="H145" s="8" t="s">
        <v>1795</v>
      </c>
    </row>
    <row r="146" spans="1:8" x14ac:dyDescent="0.3">
      <c r="A146" s="4" t="s">
        <v>600</v>
      </c>
      <c r="B146" s="5">
        <v>44893</v>
      </c>
      <c r="C146" s="6" t="s">
        <v>2367</v>
      </c>
      <c r="D146" s="6" t="s">
        <v>1643</v>
      </c>
      <c r="E146" s="6" t="s">
        <v>2503</v>
      </c>
      <c r="F146" s="6" t="s">
        <v>1208</v>
      </c>
      <c r="G146" s="7" t="str">
        <f>HYPERLINK("https://ovidsp.ovid.com/ovidweb.cgi?T=JS&amp;NEWS=n&amp;CSC=Y&amp;PAGE=booktext&amp;D=books&amp;SC=01434334&amp;EPUB=Y","https://ovidsp.ovid.com/ovidweb.cgi?T=JS&amp;NEWS=n&amp;CSC=Y&amp;PAGE=booktext&amp;D=books&amp;SC=01434334&amp;EPUB=Y")</f>
        <v>https://ovidsp.ovid.com/ovidweb.cgi?T=JS&amp;NEWS=n&amp;CSC=Y&amp;PAGE=booktext&amp;D=books&amp;SC=01434334&amp;EPUB=Y</v>
      </c>
      <c r="H146" s="8" t="s">
        <v>1795</v>
      </c>
    </row>
    <row r="147" spans="1:8" x14ac:dyDescent="0.3">
      <c r="A147" s="4" t="s">
        <v>2362</v>
      </c>
      <c r="B147" s="5">
        <v>44893</v>
      </c>
      <c r="C147" s="6" t="s">
        <v>2367</v>
      </c>
      <c r="D147" s="6" t="s">
        <v>1643</v>
      </c>
      <c r="E147" s="6" t="s">
        <v>2503</v>
      </c>
      <c r="F147" s="6" t="s">
        <v>1208</v>
      </c>
      <c r="G147" s="7" t="str">
        <f>HYPERLINK("https://ovidsp.ovid.com/ovidweb.cgi?T=JS&amp;NEWS=n&amp;CSC=Y&amp;PAGE=booktext&amp;D=books&amp;SC=01434299&amp;EPUB=Y","https://ovidsp.ovid.com/ovidweb.cgi?T=JS&amp;NEWS=n&amp;CSC=Y&amp;PAGE=booktext&amp;D=books&amp;SC=01434299&amp;EPUB=Y")</f>
        <v>https://ovidsp.ovid.com/ovidweb.cgi?T=JS&amp;NEWS=n&amp;CSC=Y&amp;PAGE=booktext&amp;D=books&amp;SC=01434299&amp;EPUB=Y</v>
      </c>
      <c r="H147" s="8" t="s">
        <v>1795</v>
      </c>
    </row>
    <row r="148" spans="1:8" x14ac:dyDescent="0.3">
      <c r="A148" s="4" t="s">
        <v>913</v>
      </c>
      <c r="B148" s="5">
        <v>44893</v>
      </c>
      <c r="C148" s="6" t="s">
        <v>2367</v>
      </c>
      <c r="D148" s="6" t="s">
        <v>1643</v>
      </c>
      <c r="E148" s="6" t="s">
        <v>2503</v>
      </c>
      <c r="F148" s="6" t="s">
        <v>1208</v>
      </c>
      <c r="G148" s="7" t="str">
        <f>HYPERLINK("https://ovidsp.ovid.com/ovidweb.cgi?T=JS&amp;NEWS=n&amp;CSC=Y&amp;PAGE=booktext&amp;D=books&amp;SC=01434235&amp;EPUB=Y","https://ovidsp.ovid.com/ovidweb.cgi?T=JS&amp;NEWS=n&amp;CSC=Y&amp;PAGE=booktext&amp;D=books&amp;SC=01434235&amp;EPUB=Y")</f>
        <v>https://ovidsp.ovid.com/ovidweb.cgi?T=JS&amp;NEWS=n&amp;CSC=Y&amp;PAGE=booktext&amp;D=books&amp;SC=01434235&amp;EPUB=Y</v>
      </c>
      <c r="H148" s="8" t="s">
        <v>1795</v>
      </c>
    </row>
    <row r="149" spans="1:8" x14ac:dyDescent="0.3">
      <c r="A149" s="4" t="s">
        <v>670</v>
      </c>
      <c r="B149" s="5">
        <v>44893</v>
      </c>
      <c r="C149" s="6" t="s">
        <v>204</v>
      </c>
      <c r="D149" s="6" t="s">
        <v>1546</v>
      </c>
      <c r="E149" s="6" t="s">
        <v>2503</v>
      </c>
      <c r="F149" s="6" t="s">
        <v>1208</v>
      </c>
      <c r="G149" s="7" t="str">
        <f>HYPERLINK("https://ovidsp.ovid.com/ovidweb.cgi?T=JS&amp;NEWS=n&amp;CSC=Y&amp;PAGE=booktext&amp;D=books&amp;SC=02272478&amp;EPUB=Y","https://ovidsp.ovid.com/ovidweb.cgi?T=JS&amp;NEWS=n&amp;CSC=Y&amp;PAGE=booktext&amp;D=books&amp;SC=02272478&amp;EPUB=Y")</f>
        <v>https://ovidsp.ovid.com/ovidweb.cgi?T=JS&amp;NEWS=n&amp;CSC=Y&amp;PAGE=booktext&amp;D=books&amp;SC=02272478&amp;EPUB=Y</v>
      </c>
      <c r="H149" s="8" t="s">
        <v>1795</v>
      </c>
    </row>
    <row r="150" spans="1:8" x14ac:dyDescent="0.3">
      <c r="A150" s="4" t="s">
        <v>1014</v>
      </c>
      <c r="B150" s="5">
        <v>44893</v>
      </c>
      <c r="C150" s="6" t="s">
        <v>776</v>
      </c>
      <c r="D150" s="6" t="s">
        <v>947</v>
      </c>
      <c r="E150" s="6" t="s">
        <v>2503</v>
      </c>
      <c r="F150" s="6" t="s">
        <v>1208</v>
      </c>
      <c r="G150" s="7" t="str">
        <f>HYPERLINK("https://ovidsp.ovid.com/ovidweb.cgi?T=JS&amp;NEWS=n&amp;CSC=Y&amp;PAGE=booktext&amp;D=books&amp;SC=01515470&amp;EPUB=Y","https://ovidsp.ovid.com/ovidweb.cgi?T=JS&amp;NEWS=n&amp;CSC=Y&amp;PAGE=booktext&amp;D=books&amp;SC=01515470&amp;EPUB=Y")</f>
        <v>https://ovidsp.ovid.com/ovidweb.cgi?T=JS&amp;NEWS=n&amp;CSC=Y&amp;PAGE=booktext&amp;D=books&amp;SC=01515470&amp;EPUB=Y</v>
      </c>
      <c r="H150" s="8" t="s">
        <v>1795</v>
      </c>
    </row>
    <row r="151" spans="1:8" x14ac:dyDescent="0.3">
      <c r="A151" s="4" t="s">
        <v>482</v>
      </c>
      <c r="B151" s="5">
        <v>44893</v>
      </c>
      <c r="C151" s="6" t="s">
        <v>2367</v>
      </c>
      <c r="D151" s="6" t="s">
        <v>1643</v>
      </c>
      <c r="E151" s="6" t="s">
        <v>2503</v>
      </c>
      <c r="F151" s="6" t="s">
        <v>1208</v>
      </c>
      <c r="G151" s="7" t="str">
        <f>HYPERLINK("https://ovidsp.ovid.com/ovidweb.cgi?T=JS&amp;NEWS=n&amp;CSC=Y&amp;PAGE=booktext&amp;D=books&amp;SC=01434226&amp;EPUB=Y","https://ovidsp.ovid.com/ovidweb.cgi?T=JS&amp;NEWS=n&amp;CSC=Y&amp;PAGE=booktext&amp;D=books&amp;SC=01434226&amp;EPUB=Y")</f>
        <v>https://ovidsp.ovid.com/ovidweb.cgi?T=JS&amp;NEWS=n&amp;CSC=Y&amp;PAGE=booktext&amp;D=books&amp;SC=01434226&amp;EPUB=Y</v>
      </c>
      <c r="H151" s="8" t="s">
        <v>1795</v>
      </c>
    </row>
    <row r="152" spans="1:8" x14ac:dyDescent="0.3">
      <c r="A152" s="4" t="s">
        <v>599</v>
      </c>
      <c r="B152" s="5">
        <v>44893</v>
      </c>
      <c r="C152" s="6" t="s">
        <v>636</v>
      </c>
      <c r="D152" s="6" t="s">
        <v>275</v>
      </c>
      <c r="E152" s="6" t="s">
        <v>2503</v>
      </c>
      <c r="F152" s="6" t="s">
        <v>1208</v>
      </c>
      <c r="G152" s="7" t="str">
        <f>HYPERLINK("https://ovidsp.ovid.com/ovidweb.cgi?T=JS&amp;NEWS=n&amp;CSC=Y&amp;PAGE=booktext&amp;D=books&amp;SC=01434627&amp;EPUB=Y","https://ovidsp.ovid.com/ovidweb.cgi?T=JS&amp;NEWS=n&amp;CSC=Y&amp;PAGE=booktext&amp;D=books&amp;SC=01434627&amp;EPUB=Y")</f>
        <v>https://ovidsp.ovid.com/ovidweb.cgi?T=JS&amp;NEWS=n&amp;CSC=Y&amp;PAGE=booktext&amp;D=books&amp;SC=01434627&amp;EPUB=Y</v>
      </c>
      <c r="H152" s="8" t="s">
        <v>1795</v>
      </c>
    </row>
    <row r="153" spans="1:8" x14ac:dyDescent="0.3">
      <c r="A153" s="4" t="s">
        <v>2123</v>
      </c>
      <c r="B153" s="5">
        <v>44893</v>
      </c>
      <c r="C153" s="6" t="s">
        <v>811</v>
      </c>
      <c r="D153" s="6" t="s">
        <v>582</v>
      </c>
      <c r="E153" s="6" t="s">
        <v>2503</v>
      </c>
      <c r="F153" s="6" t="s">
        <v>1208</v>
      </c>
      <c r="G153" s="7" t="str">
        <f>HYPERLINK("https://ovidsp.ovid.com/ovidweb.cgi?T=JS&amp;NEWS=n&amp;CSC=Y&amp;PAGE=booktext&amp;D=books&amp;SC=02029594&amp;EPUB=Y","https://ovidsp.ovid.com/ovidweb.cgi?T=JS&amp;NEWS=n&amp;CSC=Y&amp;PAGE=booktext&amp;D=books&amp;SC=02029594&amp;EPUB=Y")</f>
        <v>https://ovidsp.ovid.com/ovidweb.cgi?T=JS&amp;NEWS=n&amp;CSC=Y&amp;PAGE=booktext&amp;D=books&amp;SC=02029594&amp;EPUB=Y</v>
      </c>
      <c r="H153" s="8" t="s">
        <v>1795</v>
      </c>
    </row>
    <row r="154" spans="1:8" x14ac:dyDescent="0.3">
      <c r="A154" s="4" t="s">
        <v>1067</v>
      </c>
      <c r="B154" s="5">
        <v>44893</v>
      </c>
      <c r="C154" s="6" t="s">
        <v>73</v>
      </c>
      <c r="D154" s="6" t="s">
        <v>1922</v>
      </c>
      <c r="E154" s="6" t="s">
        <v>2503</v>
      </c>
      <c r="F154" s="6" t="s">
        <v>1208</v>
      </c>
      <c r="G154" s="7" t="str">
        <f>HYPERLINK("https://ovidsp.ovid.com/ovidweb.cgi?T=JS&amp;NEWS=n&amp;CSC=Y&amp;PAGE=booktext&amp;D=books&amp;SC=01434570&amp;EPUB=Y","https://ovidsp.ovid.com/ovidweb.cgi?T=JS&amp;NEWS=n&amp;CSC=Y&amp;PAGE=booktext&amp;D=books&amp;SC=01434570&amp;EPUB=Y")</f>
        <v>https://ovidsp.ovid.com/ovidweb.cgi?T=JS&amp;NEWS=n&amp;CSC=Y&amp;PAGE=booktext&amp;D=books&amp;SC=01434570&amp;EPUB=Y</v>
      </c>
      <c r="H154" s="8" t="s">
        <v>1795</v>
      </c>
    </row>
    <row r="155" spans="1:8" x14ac:dyDescent="0.3">
      <c r="A155" s="4" t="s">
        <v>1015</v>
      </c>
      <c r="B155" s="5">
        <v>44893</v>
      </c>
      <c r="C155" s="6" t="s">
        <v>1535</v>
      </c>
      <c r="D155" s="6" t="s">
        <v>803</v>
      </c>
      <c r="E155" s="6" t="s">
        <v>2503</v>
      </c>
      <c r="F155" s="6" t="s">
        <v>1208</v>
      </c>
      <c r="G155" s="7" t="str">
        <f>HYPERLINK("https://ovidsp.ovid.com/ovidweb.cgi?T=JS&amp;NEWS=n&amp;CSC=Y&amp;PAGE=booktext&amp;D=books&amp;SC=01434663&amp;EPUB=Y","https://ovidsp.ovid.com/ovidweb.cgi?T=JS&amp;NEWS=n&amp;CSC=Y&amp;PAGE=booktext&amp;D=books&amp;SC=01434663&amp;EPUB=Y")</f>
        <v>https://ovidsp.ovid.com/ovidweb.cgi?T=JS&amp;NEWS=n&amp;CSC=Y&amp;PAGE=booktext&amp;D=books&amp;SC=01434663&amp;EPUB=Y</v>
      </c>
      <c r="H155" s="8" t="s">
        <v>1795</v>
      </c>
    </row>
    <row r="156" spans="1:8" x14ac:dyDescent="0.3">
      <c r="A156" s="4" t="s">
        <v>104</v>
      </c>
      <c r="B156" s="5">
        <v>44893</v>
      </c>
      <c r="C156" s="6" t="s">
        <v>725</v>
      </c>
      <c r="D156" s="6" t="s">
        <v>126</v>
      </c>
      <c r="E156" s="6" t="s">
        <v>2503</v>
      </c>
      <c r="F156" s="6" t="s">
        <v>1208</v>
      </c>
      <c r="G156" s="7" t="str">
        <f>HYPERLINK("https://ovidsp.ovid.com/ovidweb.cgi?T=JS&amp;NEWS=n&amp;CSC=Y&amp;PAGE=booktext&amp;D=books&amp;SC=01929418&amp;EPUB=Y","https://ovidsp.ovid.com/ovidweb.cgi?T=JS&amp;NEWS=n&amp;CSC=Y&amp;PAGE=booktext&amp;D=books&amp;SC=01929418&amp;EPUB=Y")</f>
        <v>https://ovidsp.ovid.com/ovidweb.cgi?T=JS&amp;NEWS=n&amp;CSC=Y&amp;PAGE=booktext&amp;D=books&amp;SC=01929418&amp;EPUB=Y</v>
      </c>
      <c r="H156" s="8" t="s">
        <v>1795</v>
      </c>
    </row>
    <row r="157" spans="1:8" x14ac:dyDescent="0.3">
      <c r="A157" s="4" t="s">
        <v>2417</v>
      </c>
      <c r="B157" s="5">
        <v>44893</v>
      </c>
      <c r="C157" s="6" t="s">
        <v>935</v>
      </c>
      <c r="D157" s="6" t="s">
        <v>1641</v>
      </c>
      <c r="E157" s="6" t="s">
        <v>2503</v>
      </c>
      <c r="F157" s="6" t="s">
        <v>241</v>
      </c>
      <c r="G157" s="7" t="str">
        <f>HYPERLINK("https://ovidsp.ovid.com/ovidweb.cgi?T=JS&amp;NEWS=n&amp;CSC=Y&amp;PAGE=booktext&amp;D=books&amp;SC=02158090&amp;EPUB=Y","https://ovidsp.ovid.com/ovidweb.cgi?T=JS&amp;NEWS=n&amp;CSC=Y&amp;PAGE=booktext&amp;D=books&amp;SC=02158090&amp;EPUB=Y")</f>
        <v>https://ovidsp.ovid.com/ovidweb.cgi?T=JS&amp;NEWS=n&amp;CSC=Y&amp;PAGE=booktext&amp;D=books&amp;SC=02158090&amp;EPUB=Y</v>
      </c>
      <c r="H157" s="8" t="s">
        <v>1795</v>
      </c>
    </row>
    <row r="158" spans="1:8" x14ac:dyDescent="0.3">
      <c r="A158" s="4" t="s">
        <v>525</v>
      </c>
      <c r="B158" s="5">
        <v>44893</v>
      </c>
      <c r="C158" s="6" t="s">
        <v>155</v>
      </c>
      <c r="D158" s="6" t="s">
        <v>2195</v>
      </c>
      <c r="E158" s="6" t="s">
        <v>2503</v>
      </c>
      <c r="F158" s="6" t="s">
        <v>1208</v>
      </c>
      <c r="G158" s="7" t="str">
        <f>HYPERLINK("https://ovidsp.ovid.com/ovidweb.cgi?T=JS&amp;NEWS=n&amp;CSC=Y&amp;PAGE=booktext&amp;D=books&amp;SC=01434591&amp;EPUB=Y","https://ovidsp.ovid.com/ovidweb.cgi?T=JS&amp;NEWS=n&amp;CSC=Y&amp;PAGE=booktext&amp;D=books&amp;SC=01434591&amp;EPUB=Y")</f>
        <v>https://ovidsp.ovid.com/ovidweb.cgi?T=JS&amp;NEWS=n&amp;CSC=Y&amp;PAGE=booktext&amp;D=books&amp;SC=01434591&amp;EPUB=Y</v>
      </c>
      <c r="H158" s="8" t="s">
        <v>1795</v>
      </c>
    </row>
    <row r="159" spans="1:8" x14ac:dyDescent="0.3">
      <c r="A159" s="4" t="s">
        <v>1806</v>
      </c>
      <c r="B159" s="5">
        <v>44893</v>
      </c>
      <c r="C159" s="6" t="s">
        <v>2012</v>
      </c>
      <c r="D159" s="6" t="s">
        <v>1184</v>
      </c>
      <c r="E159" s="6" t="s">
        <v>2503</v>
      </c>
      <c r="F159" s="6" t="s">
        <v>1208</v>
      </c>
      <c r="G159" s="7" t="str">
        <f>HYPERLINK("https://ovidsp.ovid.com/ovidweb.cgi?T=JS&amp;NEWS=n&amp;CSC=Y&amp;PAGE=booktext&amp;D=books&amp;SC=01435735&amp;EPUB=Y","https://ovidsp.ovid.com/ovidweb.cgi?T=JS&amp;NEWS=n&amp;CSC=Y&amp;PAGE=booktext&amp;D=books&amp;SC=01435735&amp;EPUB=Y")</f>
        <v>https://ovidsp.ovid.com/ovidweb.cgi?T=JS&amp;NEWS=n&amp;CSC=Y&amp;PAGE=booktext&amp;D=books&amp;SC=01435735&amp;EPUB=Y</v>
      </c>
      <c r="H159" s="8" t="s">
        <v>1795</v>
      </c>
    </row>
    <row r="160" spans="1:8" x14ac:dyDescent="0.3">
      <c r="A160" s="4" t="s">
        <v>2120</v>
      </c>
      <c r="B160" s="5">
        <v>44893</v>
      </c>
      <c r="C160" s="6" t="s">
        <v>2192</v>
      </c>
      <c r="D160" s="6" t="s">
        <v>1700</v>
      </c>
      <c r="E160" s="6" t="s">
        <v>2503</v>
      </c>
      <c r="F160" s="6" t="s">
        <v>1208</v>
      </c>
      <c r="G160" s="7" t="str">
        <f>HYPERLINK("https://ovidsp.ovid.com/ovidweb.cgi?T=JS&amp;NEWS=n&amp;CSC=Y&amp;PAGE=booktext&amp;D=books&amp;SC=01435529&amp;EPUB=Y","https://ovidsp.ovid.com/ovidweb.cgi?T=JS&amp;NEWS=n&amp;CSC=Y&amp;PAGE=booktext&amp;D=books&amp;SC=01435529&amp;EPUB=Y")</f>
        <v>https://ovidsp.ovid.com/ovidweb.cgi?T=JS&amp;NEWS=n&amp;CSC=Y&amp;PAGE=booktext&amp;D=books&amp;SC=01435529&amp;EPUB=Y</v>
      </c>
      <c r="H160" s="8" t="s">
        <v>1795</v>
      </c>
    </row>
    <row r="161" spans="1:8" x14ac:dyDescent="0.3">
      <c r="A161" s="4" t="s">
        <v>1573</v>
      </c>
      <c r="B161" s="5">
        <v>44893</v>
      </c>
      <c r="C161" s="6" t="s">
        <v>2367</v>
      </c>
      <c r="D161" s="6" t="s">
        <v>1643</v>
      </c>
      <c r="E161" s="6" t="s">
        <v>2503</v>
      </c>
      <c r="F161" s="6" t="s">
        <v>1208</v>
      </c>
      <c r="G161" s="7" t="str">
        <f>HYPERLINK("https://ovidsp.ovid.com/ovidweb.cgi?T=JS&amp;NEWS=n&amp;CSC=Y&amp;PAGE=booktext&amp;D=books&amp;SC=01434255&amp;EPUB=Y","https://ovidsp.ovid.com/ovidweb.cgi?T=JS&amp;NEWS=n&amp;CSC=Y&amp;PAGE=booktext&amp;D=books&amp;SC=01434255&amp;EPUB=Y")</f>
        <v>https://ovidsp.ovid.com/ovidweb.cgi?T=JS&amp;NEWS=n&amp;CSC=Y&amp;PAGE=booktext&amp;D=books&amp;SC=01434255&amp;EPUB=Y</v>
      </c>
      <c r="H161" s="8" t="s">
        <v>1795</v>
      </c>
    </row>
    <row r="162" spans="1:8" x14ac:dyDescent="0.3">
      <c r="A162" s="4" t="s">
        <v>2436</v>
      </c>
      <c r="B162" s="5">
        <v>44893</v>
      </c>
      <c r="C162" s="6" t="s">
        <v>2590</v>
      </c>
      <c r="D162" s="6" t="s">
        <v>1376</v>
      </c>
      <c r="E162" s="6" t="s">
        <v>2503</v>
      </c>
      <c r="F162" s="6" t="s">
        <v>1208</v>
      </c>
      <c r="G162" s="7" t="str">
        <f>HYPERLINK("https://ovidsp.ovid.com/ovidweb.cgi?T=JS&amp;NEWS=n&amp;CSC=Y&amp;PAGE=booktext&amp;D=books&amp;SC=01929419&amp;EPUB=Y","https://ovidsp.ovid.com/ovidweb.cgi?T=JS&amp;NEWS=n&amp;CSC=Y&amp;PAGE=booktext&amp;D=books&amp;SC=01929419&amp;EPUB=Y")</f>
        <v>https://ovidsp.ovid.com/ovidweb.cgi?T=JS&amp;NEWS=n&amp;CSC=Y&amp;PAGE=booktext&amp;D=books&amp;SC=01929419&amp;EPUB=Y</v>
      </c>
      <c r="H162" s="8" t="s">
        <v>1795</v>
      </c>
    </row>
    <row r="163" spans="1:8" x14ac:dyDescent="0.3">
      <c r="A163" s="4" t="s">
        <v>98</v>
      </c>
      <c r="B163" s="5">
        <v>44893</v>
      </c>
      <c r="C163" s="6" t="s">
        <v>325</v>
      </c>
      <c r="D163" s="6" t="s">
        <v>500</v>
      </c>
      <c r="E163" s="6" t="s">
        <v>2503</v>
      </c>
      <c r="F163" s="6" t="s">
        <v>1208</v>
      </c>
      <c r="G163" s="7" t="str">
        <f>HYPERLINK("https://ovidsp.ovid.com/ovidweb.cgi?T=JS&amp;NEWS=n&amp;CSC=Y&amp;PAGE=booktext&amp;D=books&amp;SC=01943952&amp;EPUB=Y","https://ovidsp.ovid.com/ovidweb.cgi?T=JS&amp;NEWS=n&amp;CSC=Y&amp;PAGE=booktext&amp;D=books&amp;SC=01943952&amp;EPUB=Y")</f>
        <v>https://ovidsp.ovid.com/ovidweb.cgi?T=JS&amp;NEWS=n&amp;CSC=Y&amp;PAGE=booktext&amp;D=books&amp;SC=01943952&amp;EPUB=Y</v>
      </c>
      <c r="H163" s="8" t="s">
        <v>1795</v>
      </c>
    </row>
    <row r="164" spans="1:8" x14ac:dyDescent="0.3">
      <c r="A164" s="4" t="s">
        <v>2573</v>
      </c>
      <c r="B164" s="5">
        <v>44893</v>
      </c>
      <c r="C164" s="6" t="s">
        <v>2027</v>
      </c>
      <c r="D164" s="6" t="s">
        <v>2227</v>
      </c>
      <c r="E164" s="6" t="s">
        <v>2503</v>
      </c>
      <c r="F164" s="6" t="s">
        <v>1208</v>
      </c>
      <c r="G164" s="7" t="str">
        <f>HYPERLINK("https://ovidsp.ovid.com/ovidweb.cgi?T=JS&amp;NEWS=n&amp;CSC=Y&amp;PAGE=booktext&amp;D=books&amp;SC=01437477&amp;EPUB=Y","https://ovidsp.ovid.com/ovidweb.cgi?T=JS&amp;NEWS=n&amp;CSC=Y&amp;PAGE=booktext&amp;D=books&amp;SC=01437477&amp;EPUB=Y")</f>
        <v>https://ovidsp.ovid.com/ovidweb.cgi?T=JS&amp;NEWS=n&amp;CSC=Y&amp;PAGE=booktext&amp;D=books&amp;SC=01437477&amp;EPUB=Y</v>
      </c>
      <c r="H164" s="8" t="s">
        <v>1795</v>
      </c>
    </row>
    <row r="165" spans="1:8" x14ac:dyDescent="0.3">
      <c r="A165" s="4" t="s">
        <v>1392</v>
      </c>
      <c r="B165" s="5">
        <v>44893</v>
      </c>
      <c r="C165" s="6" t="s">
        <v>2033</v>
      </c>
      <c r="D165" s="6" t="s">
        <v>1904</v>
      </c>
      <c r="E165" s="6" t="s">
        <v>2503</v>
      </c>
      <c r="F165" s="6" t="s">
        <v>1208</v>
      </c>
      <c r="G165" s="7" t="str">
        <f>HYPERLINK("https://ovidsp.ovid.com/ovidweb.cgi?T=JS&amp;NEWS=n&amp;CSC=Y&amp;PAGE=booktext&amp;D=books&amp;SC=01838257&amp;EPUB=Y","https://ovidsp.ovid.com/ovidweb.cgi?T=JS&amp;NEWS=n&amp;CSC=Y&amp;PAGE=booktext&amp;D=books&amp;SC=01838257&amp;EPUB=Y")</f>
        <v>https://ovidsp.ovid.com/ovidweb.cgi?T=JS&amp;NEWS=n&amp;CSC=Y&amp;PAGE=booktext&amp;D=books&amp;SC=01838257&amp;EPUB=Y</v>
      </c>
      <c r="H165" s="8" t="s">
        <v>1795</v>
      </c>
    </row>
    <row r="166" spans="1:8" x14ac:dyDescent="0.3">
      <c r="A166" s="4" t="s">
        <v>1917</v>
      </c>
      <c r="B166" s="5">
        <v>44893</v>
      </c>
      <c r="C166" s="6" t="s">
        <v>1972</v>
      </c>
      <c r="D166" s="6" t="s">
        <v>571</v>
      </c>
      <c r="E166" s="6" t="s">
        <v>2503</v>
      </c>
      <c r="F166" s="6" t="s">
        <v>1208</v>
      </c>
      <c r="G166" s="7" t="str">
        <f>HYPERLINK("https://ovidsp.ovid.com/ovidweb.cgi?T=JS&amp;NEWS=n&amp;CSC=Y&amp;PAGE=booktext&amp;D=books&amp;SC=01899938&amp;EPUB=Y","https://ovidsp.ovid.com/ovidweb.cgi?T=JS&amp;NEWS=n&amp;CSC=Y&amp;PAGE=booktext&amp;D=books&amp;SC=01899938&amp;EPUB=Y")</f>
        <v>https://ovidsp.ovid.com/ovidweb.cgi?T=JS&amp;NEWS=n&amp;CSC=Y&amp;PAGE=booktext&amp;D=books&amp;SC=01899938&amp;EPUB=Y</v>
      </c>
      <c r="H166" s="8" t="s">
        <v>1795</v>
      </c>
    </row>
    <row r="167" spans="1:8" x14ac:dyDescent="0.3">
      <c r="A167" s="4" t="s">
        <v>591</v>
      </c>
      <c r="B167" s="5">
        <v>44893</v>
      </c>
      <c r="C167" s="6" t="s">
        <v>2546</v>
      </c>
      <c r="D167" s="6" t="s">
        <v>2271</v>
      </c>
      <c r="E167" s="6" t="s">
        <v>2503</v>
      </c>
      <c r="F167" s="6" t="s">
        <v>1208</v>
      </c>
      <c r="G167" s="7" t="str">
        <f>HYPERLINK("https://ovidsp.ovid.com/ovidweb.cgi?T=JS&amp;NEWS=n&amp;CSC=Y&amp;PAGE=booktext&amp;D=books&amp;SC=02181740&amp;EPUB=Y","https://ovidsp.ovid.com/ovidweb.cgi?T=JS&amp;NEWS=n&amp;CSC=Y&amp;PAGE=booktext&amp;D=books&amp;SC=02181740&amp;EPUB=Y")</f>
        <v>https://ovidsp.ovid.com/ovidweb.cgi?T=JS&amp;NEWS=n&amp;CSC=Y&amp;PAGE=booktext&amp;D=books&amp;SC=02181740&amp;EPUB=Y</v>
      </c>
      <c r="H167" s="8" t="s">
        <v>1795</v>
      </c>
    </row>
    <row r="168" spans="1:8" x14ac:dyDescent="0.3">
      <c r="A168" s="4" t="s">
        <v>381</v>
      </c>
      <c r="B168" s="5">
        <v>44893</v>
      </c>
      <c r="C168" s="6" t="s">
        <v>1286</v>
      </c>
      <c r="D168" s="6" t="s">
        <v>2193</v>
      </c>
      <c r="E168" s="6" t="s">
        <v>2503</v>
      </c>
      <c r="F168" s="6" t="s">
        <v>1208</v>
      </c>
      <c r="G168" s="7" t="str">
        <f>HYPERLINK("https://ovidsp.ovid.com/ovidweb.cgi?T=JS&amp;NEWS=n&amp;CSC=Y&amp;PAGE=booktext&amp;D=books&amp;SC=01929398&amp;EPUB=Y","https://ovidsp.ovid.com/ovidweb.cgi?T=JS&amp;NEWS=n&amp;CSC=Y&amp;PAGE=booktext&amp;D=books&amp;SC=01929398&amp;EPUB=Y")</f>
        <v>https://ovidsp.ovid.com/ovidweb.cgi?T=JS&amp;NEWS=n&amp;CSC=Y&amp;PAGE=booktext&amp;D=books&amp;SC=01929398&amp;EPUB=Y</v>
      </c>
      <c r="H168" s="8" t="s">
        <v>1795</v>
      </c>
    </row>
    <row r="169" spans="1:8" x14ac:dyDescent="0.3">
      <c r="A169" s="4" t="s">
        <v>29</v>
      </c>
      <c r="B169" s="5">
        <v>44893</v>
      </c>
      <c r="C169" s="6" t="s">
        <v>917</v>
      </c>
      <c r="D169" s="6" t="s">
        <v>1398</v>
      </c>
      <c r="E169" s="6" t="s">
        <v>2503</v>
      </c>
      <c r="F169" s="6" t="s">
        <v>1208</v>
      </c>
      <c r="G169" s="7" t="str">
        <f>HYPERLINK("https://ovidsp.ovid.com/ovidweb.cgi?T=JS&amp;NEWS=n&amp;CSC=Y&amp;PAGE=booktext&amp;D=books&amp;SC=01833049&amp;EPUB=Y","https://ovidsp.ovid.com/ovidweb.cgi?T=JS&amp;NEWS=n&amp;CSC=Y&amp;PAGE=booktext&amp;D=books&amp;SC=01833049&amp;EPUB=Y")</f>
        <v>https://ovidsp.ovid.com/ovidweb.cgi?T=JS&amp;NEWS=n&amp;CSC=Y&amp;PAGE=booktext&amp;D=books&amp;SC=01833049&amp;EPUB=Y</v>
      </c>
      <c r="H169" s="8" t="s">
        <v>1795</v>
      </c>
    </row>
    <row r="170" spans="1:8" x14ac:dyDescent="0.3">
      <c r="A170" s="4" t="s">
        <v>623</v>
      </c>
      <c r="B170" s="5">
        <v>44893</v>
      </c>
      <c r="C170" s="6" t="s">
        <v>2256</v>
      </c>
      <c r="D170" s="6" t="s">
        <v>2475</v>
      </c>
      <c r="E170" s="6" t="s">
        <v>2503</v>
      </c>
      <c r="F170" s="6" t="s">
        <v>322</v>
      </c>
      <c r="G170" s="7" t="str">
        <f>HYPERLINK("https://ovidsp.ovid.com/ovidweb.cgi?T=JS&amp;NEWS=n&amp;CSC=Y&amp;PAGE=booktext&amp;D=books&amp;SC=02200506&amp;EPUB=Y","https://ovidsp.ovid.com/ovidweb.cgi?T=JS&amp;NEWS=n&amp;CSC=Y&amp;PAGE=booktext&amp;D=books&amp;SC=02200506&amp;EPUB=Y")</f>
        <v>https://ovidsp.ovid.com/ovidweb.cgi?T=JS&amp;NEWS=n&amp;CSC=Y&amp;PAGE=booktext&amp;D=books&amp;SC=02200506&amp;EPUB=Y</v>
      </c>
      <c r="H170" s="8" t="s">
        <v>1795</v>
      </c>
    </row>
    <row r="171" spans="1:8" x14ac:dyDescent="0.3">
      <c r="A171" s="4" t="s">
        <v>1736</v>
      </c>
      <c r="B171" s="5">
        <v>44893</v>
      </c>
      <c r="C171" s="6" t="s">
        <v>1203</v>
      </c>
      <c r="D171" s="6" t="s">
        <v>300</v>
      </c>
      <c r="E171" s="6" t="s">
        <v>2503</v>
      </c>
      <c r="F171" s="6" t="s">
        <v>1208</v>
      </c>
      <c r="G171" s="7" t="str">
        <f>HYPERLINK("https://ovidsp.ovid.com/ovidweb.cgi?T=JS&amp;NEWS=n&amp;CSC=Y&amp;PAGE=booktext&amp;D=books&amp;SC=01990632&amp;EPUB=Y","https://ovidsp.ovid.com/ovidweb.cgi?T=JS&amp;NEWS=n&amp;CSC=Y&amp;PAGE=booktext&amp;D=books&amp;SC=01990632&amp;EPUB=Y")</f>
        <v>https://ovidsp.ovid.com/ovidweb.cgi?T=JS&amp;NEWS=n&amp;CSC=Y&amp;PAGE=booktext&amp;D=books&amp;SC=01990632&amp;EPUB=Y</v>
      </c>
      <c r="H171" s="8" t="s">
        <v>1795</v>
      </c>
    </row>
    <row r="172" spans="1:8" x14ac:dyDescent="0.3">
      <c r="A172" s="4" t="s">
        <v>1024</v>
      </c>
      <c r="B172" s="5">
        <v>44893</v>
      </c>
      <c r="C172" s="6" t="s">
        <v>2367</v>
      </c>
      <c r="D172" s="6" t="s">
        <v>1643</v>
      </c>
      <c r="E172" s="6" t="s">
        <v>2503</v>
      </c>
      <c r="F172" s="6" t="s">
        <v>1208</v>
      </c>
      <c r="G172" s="7" t="str">
        <f>HYPERLINK("https://ovidsp.ovid.com/ovidweb.cgi?T=JS&amp;NEWS=n&amp;CSC=Y&amp;PAGE=booktext&amp;D=books&amp;SC=01434402&amp;EPUB=Y","https://ovidsp.ovid.com/ovidweb.cgi?T=JS&amp;NEWS=n&amp;CSC=Y&amp;PAGE=booktext&amp;D=books&amp;SC=01434402&amp;EPUB=Y")</f>
        <v>https://ovidsp.ovid.com/ovidweb.cgi?T=JS&amp;NEWS=n&amp;CSC=Y&amp;PAGE=booktext&amp;D=books&amp;SC=01434402&amp;EPUB=Y</v>
      </c>
      <c r="H172" s="8" t="s">
        <v>1795</v>
      </c>
    </row>
    <row r="173" spans="1:8" x14ac:dyDescent="0.3">
      <c r="A173" s="4" t="s">
        <v>658</v>
      </c>
      <c r="B173" s="5">
        <v>44893</v>
      </c>
      <c r="C173" s="6" t="s">
        <v>2502</v>
      </c>
      <c r="D173" s="6" t="s">
        <v>791</v>
      </c>
      <c r="E173" s="6" t="s">
        <v>2503</v>
      </c>
      <c r="F173" s="6" t="s">
        <v>1208</v>
      </c>
      <c r="G173" s="7" t="str">
        <f>HYPERLINK("https://ovidsp.ovid.com/ovidweb.cgi?T=JS&amp;NEWS=n&amp;CSC=Y&amp;PAGE=booktext&amp;D=books&amp;SC=01434521&amp;EPUB=Y","https://ovidsp.ovid.com/ovidweb.cgi?T=JS&amp;NEWS=n&amp;CSC=Y&amp;PAGE=booktext&amp;D=books&amp;SC=01434521&amp;EPUB=Y")</f>
        <v>https://ovidsp.ovid.com/ovidweb.cgi?T=JS&amp;NEWS=n&amp;CSC=Y&amp;PAGE=booktext&amp;D=books&amp;SC=01434521&amp;EPUB=Y</v>
      </c>
      <c r="H173" s="8" t="s">
        <v>1795</v>
      </c>
    </row>
    <row r="174" spans="1:8" x14ac:dyDescent="0.3">
      <c r="A174" s="4" t="s">
        <v>69</v>
      </c>
      <c r="B174" s="5">
        <v>44893</v>
      </c>
      <c r="C174" s="6" t="s">
        <v>144</v>
      </c>
      <c r="D174" s="6" t="s">
        <v>1776</v>
      </c>
      <c r="E174" s="6" t="s">
        <v>2503</v>
      </c>
      <c r="F174" s="6" t="s">
        <v>1208</v>
      </c>
      <c r="G174" s="7" t="str">
        <f>HYPERLINK("https://ovidsp.ovid.com/ovidweb.cgi?T=JS&amp;NEWS=n&amp;CSC=Y&amp;PAGE=booktext&amp;D=books&amp;SC=02272715&amp;EPUB=Y","https://ovidsp.ovid.com/ovidweb.cgi?T=JS&amp;NEWS=n&amp;CSC=Y&amp;PAGE=booktext&amp;D=books&amp;SC=02272715&amp;EPUB=Y")</f>
        <v>https://ovidsp.ovid.com/ovidweb.cgi?T=JS&amp;NEWS=n&amp;CSC=Y&amp;PAGE=booktext&amp;D=books&amp;SC=02272715&amp;EPUB=Y</v>
      </c>
      <c r="H174" s="8" t="s">
        <v>1795</v>
      </c>
    </row>
    <row r="175" spans="1:8" x14ac:dyDescent="0.3">
      <c r="A175" s="4" t="s">
        <v>1426</v>
      </c>
      <c r="B175" s="5">
        <v>44893</v>
      </c>
      <c r="C175" s="6" t="s">
        <v>2367</v>
      </c>
      <c r="D175" s="6" t="s">
        <v>1643</v>
      </c>
      <c r="E175" s="6" t="s">
        <v>2503</v>
      </c>
      <c r="F175" s="6" t="s">
        <v>1208</v>
      </c>
      <c r="G175" s="7" t="str">
        <f>HYPERLINK("https://ovidsp.ovid.com/ovidweb.cgi?T=JS&amp;NEWS=n&amp;CSC=Y&amp;PAGE=booktext&amp;D=books&amp;SC=01434572&amp;EPUB=Y","https://ovidsp.ovid.com/ovidweb.cgi?T=JS&amp;NEWS=n&amp;CSC=Y&amp;PAGE=booktext&amp;D=books&amp;SC=01434572&amp;EPUB=Y")</f>
        <v>https://ovidsp.ovid.com/ovidweb.cgi?T=JS&amp;NEWS=n&amp;CSC=Y&amp;PAGE=booktext&amp;D=books&amp;SC=01434572&amp;EPUB=Y</v>
      </c>
      <c r="H175" s="8" t="s">
        <v>1795</v>
      </c>
    </row>
    <row r="176" spans="1:8" x14ac:dyDescent="0.3">
      <c r="A176" s="4" t="s">
        <v>237</v>
      </c>
      <c r="B176" s="5">
        <v>44893</v>
      </c>
      <c r="C176" s="6" t="s">
        <v>285</v>
      </c>
      <c r="D176" s="6" t="s">
        <v>815</v>
      </c>
      <c r="E176" s="6" t="s">
        <v>2503</v>
      </c>
      <c r="F176" s="6" t="s">
        <v>1208</v>
      </c>
      <c r="G176" s="7" t="str">
        <f>HYPERLINK("https://ovidsp.ovid.com/ovidweb.cgi?T=JS&amp;NEWS=n&amp;CSC=Y&amp;PAGE=booktext&amp;D=books&amp;SC=01436955&amp;EPUB=Y","https://ovidsp.ovid.com/ovidweb.cgi?T=JS&amp;NEWS=n&amp;CSC=Y&amp;PAGE=booktext&amp;D=books&amp;SC=01436955&amp;EPUB=Y")</f>
        <v>https://ovidsp.ovid.com/ovidweb.cgi?T=JS&amp;NEWS=n&amp;CSC=Y&amp;PAGE=booktext&amp;D=books&amp;SC=01436955&amp;EPUB=Y</v>
      </c>
      <c r="H176" s="8" t="s">
        <v>1795</v>
      </c>
    </row>
    <row r="177" spans="1:8" x14ac:dyDescent="0.3">
      <c r="A177" s="4" t="s">
        <v>2101</v>
      </c>
      <c r="B177" s="5">
        <v>44893</v>
      </c>
      <c r="C177" s="6" t="s">
        <v>1418</v>
      </c>
      <c r="D177" s="6" t="s">
        <v>0</v>
      </c>
      <c r="E177" s="6" t="s">
        <v>2503</v>
      </c>
      <c r="F177" s="6" t="s">
        <v>1208</v>
      </c>
      <c r="G177" s="7" t="str">
        <f>HYPERLINK("https://ovidsp.ovid.com/ovidweb.cgi?T=JS&amp;NEWS=n&amp;CSC=Y&amp;PAGE=booktext&amp;D=books&amp;SC=01434522&amp;EPUB=Y","https://ovidsp.ovid.com/ovidweb.cgi?T=JS&amp;NEWS=n&amp;CSC=Y&amp;PAGE=booktext&amp;D=books&amp;SC=01434522&amp;EPUB=Y")</f>
        <v>https://ovidsp.ovid.com/ovidweb.cgi?T=JS&amp;NEWS=n&amp;CSC=Y&amp;PAGE=booktext&amp;D=books&amp;SC=01434522&amp;EPUB=Y</v>
      </c>
      <c r="H177" s="8" t="s">
        <v>1795</v>
      </c>
    </row>
    <row r="178" spans="1:8" x14ac:dyDescent="0.3">
      <c r="A178" s="4" t="s">
        <v>1610</v>
      </c>
      <c r="B178" s="5">
        <v>44893</v>
      </c>
      <c r="C178" s="6" t="s">
        <v>528</v>
      </c>
      <c r="D178" s="6" t="s">
        <v>1923</v>
      </c>
      <c r="E178" s="6" t="s">
        <v>2503</v>
      </c>
      <c r="F178" s="6" t="s">
        <v>1208</v>
      </c>
      <c r="G178" s="7" t="str">
        <f>HYPERLINK("https://ovidsp.ovid.com/ovidweb.cgi?T=JS&amp;NEWS=n&amp;CSC=Y&amp;PAGE=booktext&amp;D=books&amp;SC=01438234&amp;EPUB=Y","https://ovidsp.ovid.com/ovidweb.cgi?T=JS&amp;NEWS=n&amp;CSC=Y&amp;PAGE=booktext&amp;D=books&amp;SC=01438234&amp;EPUB=Y")</f>
        <v>https://ovidsp.ovid.com/ovidweb.cgi?T=JS&amp;NEWS=n&amp;CSC=Y&amp;PAGE=booktext&amp;D=books&amp;SC=01438234&amp;EPUB=Y</v>
      </c>
      <c r="H178" s="8" t="s">
        <v>1795</v>
      </c>
    </row>
    <row r="179" spans="1:8" x14ac:dyDescent="0.3">
      <c r="A179" s="4" t="s">
        <v>593</v>
      </c>
      <c r="B179" s="5">
        <v>44893</v>
      </c>
      <c r="C179" s="6" t="s">
        <v>1760</v>
      </c>
      <c r="D179" s="6" t="s">
        <v>546</v>
      </c>
      <c r="E179" s="6" t="s">
        <v>2503</v>
      </c>
      <c r="F179" s="6" t="s">
        <v>1208</v>
      </c>
      <c r="G179" s="7" t="str">
        <f>HYPERLINK("https://ovidsp.ovid.com/ovidweb.cgi?T=JS&amp;NEWS=n&amp;CSC=Y&amp;PAGE=booktext&amp;D=books&amp;SC=01434550&amp;EPUB=Y","https://ovidsp.ovid.com/ovidweb.cgi?T=JS&amp;NEWS=n&amp;CSC=Y&amp;PAGE=booktext&amp;D=books&amp;SC=01434550&amp;EPUB=Y")</f>
        <v>https://ovidsp.ovid.com/ovidweb.cgi?T=JS&amp;NEWS=n&amp;CSC=Y&amp;PAGE=booktext&amp;D=books&amp;SC=01434550&amp;EPUB=Y</v>
      </c>
      <c r="H179" s="8" t="s">
        <v>1795</v>
      </c>
    </row>
    <row r="180" spans="1:8" x14ac:dyDescent="0.3">
      <c r="A180" s="4" t="s">
        <v>321</v>
      </c>
      <c r="B180" s="5">
        <v>44893</v>
      </c>
      <c r="C180" s="6" t="s">
        <v>2212</v>
      </c>
      <c r="D180" s="6" t="s">
        <v>351</v>
      </c>
      <c r="E180" s="6" t="s">
        <v>2503</v>
      </c>
      <c r="F180" s="6" t="s">
        <v>1208</v>
      </c>
      <c r="G180" s="7" t="str">
        <f>HYPERLINK("https://ovidsp.ovid.com/ovidweb.cgi?T=JS&amp;NEWS=n&amp;CSC=Y&amp;PAGE=booktext&amp;D=books&amp;SC=02163062&amp;EPUB=Y","https://ovidsp.ovid.com/ovidweb.cgi?T=JS&amp;NEWS=n&amp;CSC=Y&amp;PAGE=booktext&amp;D=books&amp;SC=02163062&amp;EPUB=Y")</f>
        <v>https://ovidsp.ovid.com/ovidweb.cgi?T=JS&amp;NEWS=n&amp;CSC=Y&amp;PAGE=booktext&amp;D=books&amp;SC=02163062&amp;EPUB=Y</v>
      </c>
      <c r="H180" s="8" t="s">
        <v>1795</v>
      </c>
    </row>
    <row r="181" spans="1:8" x14ac:dyDescent="0.3">
      <c r="A181" s="4" t="s">
        <v>343</v>
      </c>
      <c r="B181" s="5">
        <v>44893</v>
      </c>
      <c r="C181" s="6" t="s">
        <v>2367</v>
      </c>
      <c r="D181" s="6" t="s">
        <v>1643</v>
      </c>
      <c r="E181" s="6" t="s">
        <v>2503</v>
      </c>
      <c r="F181" s="6" t="s">
        <v>241</v>
      </c>
      <c r="G181" s="7" t="str">
        <f>HYPERLINK("https://ovidsp.ovid.com/ovidweb.cgi?T=JS&amp;NEWS=n&amp;CSC=Y&amp;PAGE=booktext&amp;D=books&amp;SC=01434393&amp;EPUB=Y","https://ovidsp.ovid.com/ovidweb.cgi?T=JS&amp;NEWS=n&amp;CSC=Y&amp;PAGE=booktext&amp;D=books&amp;SC=01434393&amp;EPUB=Y")</f>
        <v>https://ovidsp.ovid.com/ovidweb.cgi?T=JS&amp;NEWS=n&amp;CSC=Y&amp;PAGE=booktext&amp;D=books&amp;SC=01434393&amp;EPUB=Y</v>
      </c>
      <c r="H181" s="8" t="s">
        <v>1795</v>
      </c>
    </row>
    <row r="182" spans="1:8" x14ac:dyDescent="0.3">
      <c r="A182" s="4" t="s">
        <v>1843</v>
      </c>
      <c r="B182" s="5">
        <v>44893</v>
      </c>
      <c r="C182" s="6" t="s">
        <v>2080</v>
      </c>
      <c r="D182" s="6" t="s">
        <v>2359</v>
      </c>
      <c r="E182" s="6" t="s">
        <v>2503</v>
      </c>
      <c r="F182" s="6" t="s">
        <v>1208</v>
      </c>
      <c r="G182" s="7" t="str">
        <f>HYPERLINK("https://ovidsp.ovid.com/ovidweb.cgi?T=JS&amp;NEWS=n&amp;CSC=Y&amp;PAGE=booktext&amp;D=books&amp;SC=01434590&amp;EPUB=Y","https://ovidsp.ovid.com/ovidweb.cgi?T=JS&amp;NEWS=n&amp;CSC=Y&amp;PAGE=booktext&amp;D=books&amp;SC=01434590&amp;EPUB=Y")</f>
        <v>https://ovidsp.ovid.com/ovidweb.cgi?T=JS&amp;NEWS=n&amp;CSC=Y&amp;PAGE=booktext&amp;D=books&amp;SC=01434590&amp;EPUB=Y</v>
      </c>
      <c r="H182" s="8" t="s">
        <v>1795</v>
      </c>
    </row>
    <row r="183" spans="1:8" x14ac:dyDescent="0.3">
      <c r="A183" s="4" t="s">
        <v>2057</v>
      </c>
      <c r="B183" s="5">
        <v>44893</v>
      </c>
      <c r="C183" s="6" t="s">
        <v>2316</v>
      </c>
      <c r="D183" s="6" t="s">
        <v>814</v>
      </c>
      <c r="E183" s="6" t="s">
        <v>2503</v>
      </c>
      <c r="F183" s="6" t="s">
        <v>1208</v>
      </c>
      <c r="G183" s="7" t="str">
        <f>HYPERLINK("https://ovidsp.ovid.com/ovidweb.cgi?T=JS&amp;NEWS=n&amp;CSC=Y&amp;PAGE=booktext&amp;D=books&amp;SC=02273862&amp;EPUB=Y","https://ovidsp.ovid.com/ovidweb.cgi?T=JS&amp;NEWS=n&amp;CSC=Y&amp;PAGE=booktext&amp;D=books&amp;SC=02273862&amp;EPUB=Y")</f>
        <v>https://ovidsp.ovid.com/ovidweb.cgi?T=JS&amp;NEWS=n&amp;CSC=Y&amp;PAGE=booktext&amp;D=books&amp;SC=02273862&amp;EPUB=Y</v>
      </c>
      <c r="H183" s="8" t="s">
        <v>1795</v>
      </c>
    </row>
    <row r="184" spans="1:8" x14ac:dyDescent="0.3">
      <c r="A184" s="4" t="s">
        <v>2519</v>
      </c>
      <c r="B184" s="5">
        <v>44893</v>
      </c>
      <c r="C184" s="6" t="s">
        <v>246</v>
      </c>
      <c r="D184" s="6" t="s">
        <v>874</v>
      </c>
      <c r="E184" s="6" t="s">
        <v>2503</v>
      </c>
      <c r="F184" s="6" t="s">
        <v>1208</v>
      </c>
      <c r="G184" s="7" t="str">
        <f>HYPERLINK("https://ovidsp.ovid.com/ovidweb.cgi?T=JS&amp;NEWS=n&amp;CSC=Y&amp;PAGE=booktext&amp;D=books&amp;SC=02272517&amp;EPUB=Y","https://ovidsp.ovid.com/ovidweb.cgi?T=JS&amp;NEWS=n&amp;CSC=Y&amp;PAGE=booktext&amp;D=books&amp;SC=02272517&amp;EPUB=Y")</f>
        <v>https://ovidsp.ovid.com/ovidweb.cgi?T=JS&amp;NEWS=n&amp;CSC=Y&amp;PAGE=booktext&amp;D=books&amp;SC=02272517&amp;EPUB=Y</v>
      </c>
      <c r="H184" s="8" t="s">
        <v>1795</v>
      </c>
    </row>
    <row r="185" spans="1:8" x14ac:dyDescent="0.3">
      <c r="A185" s="4" t="s">
        <v>1583</v>
      </c>
      <c r="B185" s="5">
        <v>44893</v>
      </c>
      <c r="C185" s="6" t="s">
        <v>2094</v>
      </c>
      <c r="D185" s="6" t="s">
        <v>507</v>
      </c>
      <c r="E185" s="6" t="s">
        <v>2503</v>
      </c>
      <c r="F185" s="6" t="s">
        <v>1208</v>
      </c>
      <c r="G185" s="7" t="str">
        <f>HYPERLINK("https://ovidsp.ovid.com/ovidweb.cgi?T=JS&amp;NEWS=n&amp;CSC=Y&amp;PAGE=booktext&amp;D=books&amp;SC=01990633&amp;EPUB=Y","https://ovidsp.ovid.com/ovidweb.cgi?T=JS&amp;NEWS=n&amp;CSC=Y&amp;PAGE=booktext&amp;D=books&amp;SC=01990633&amp;EPUB=Y")</f>
        <v>https://ovidsp.ovid.com/ovidweb.cgi?T=JS&amp;NEWS=n&amp;CSC=Y&amp;PAGE=booktext&amp;D=books&amp;SC=01990633&amp;EPUB=Y</v>
      </c>
      <c r="H185" s="8" t="s">
        <v>1795</v>
      </c>
    </row>
    <row r="186" spans="1:8" x14ac:dyDescent="0.3">
      <c r="A186" s="4" t="s">
        <v>2434</v>
      </c>
      <c r="B186" s="5">
        <v>44893</v>
      </c>
      <c r="C186" s="6" t="s">
        <v>2367</v>
      </c>
      <c r="D186" s="6" t="s">
        <v>1643</v>
      </c>
      <c r="E186" s="6" t="s">
        <v>2503</v>
      </c>
      <c r="F186" s="6" t="s">
        <v>1208</v>
      </c>
      <c r="G186" s="7" t="str">
        <f>HYPERLINK("https://ovidsp.ovid.com/ovidweb.cgi?T=JS&amp;NEWS=n&amp;CSC=Y&amp;PAGE=booktext&amp;D=books&amp;SC=01434296&amp;EPUB=Y","https://ovidsp.ovid.com/ovidweb.cgi?T=JS&amp;NEWS=n&amp;CSC=Y&amp;PAGE=booktext&amp;D=books&amp;SC=01434296&amp;EPUB=Y")</f>
        <v>https://ovidsp.ovid.com/ovidweb.cgi?T=JS&amp;NEWS=n&amp;CSC=Y&amp;PAGE=booktext&amp;D=books&amp;SC=01434296&amp;EPUB=Y</v>
      </c>
      <c r="H186" s="8" t="s">
        <v>1795</v>
      </c>
    </row>
    <row r="187" spans="1:8" x14ac:dyDescent="0.3">
      <c r="A187" s="4" t="s">
        <v>1343</v>
      </c>
      <c r="B187" s="5">
        <v>44893</v>
      </c>
      <c r="C187" s="6" t="s">
        <v>2367</v>
      </c>
      <c r="D187" s="6" t="s">
        <v>1643</v>
      </c>
      <c r="E187" s="6" t="s">
        <v>2503</v>
      </c>
      <c r="F187" s="6" t="s">
        <v>1208</v>
      </c>
      <c r="G187" s="7" t="str">
        <f>HYPERLINK("https://ovidsp.ovid.com/ovidweb.cgi?T=JS&amp;NEWS=n&amp;CSC=Y&amp;PAGE=booktext&amp;D=books&amp;SC=01434425&amp;EPUB=Y","https://ovidsp.ovid.com/ovidweb.cgi?T=JS&amp;NEWS=n&amp;CSC=Y&amp;PAGE=booktext&amp;D=books&amp;SC=01434425&amp;EPUB=Y")</f>
        <v>https://ovidsp.ovid.com/ovidweb.cgi?T=JS&amp;NEWS=n&amp;CSC=Y&amp;PAGE=booktext&amp;D=books&amp;SC=01434425&amp;EPUB=Y</v>
      </c>
      <c r="H187" s="8" t="s">
        <v>1795</v>
      </c>
    </row>
    <row r="188" spans="1:8" x14ac:dyDescent="0.3">
      <c r="A188" s="4" t="s">
        <v>2326</v>
      </c>
      <c r="B188" s="5">
        <v>44893</v>
      </c>
      <c r="C188" s="6" t="s">
        <v>319</v>
      </c>
      <c r="D188" s="6" t="s">
        <v>1729</v>
      </c>
      <c r="E188" s="6" t="s">
        <v>2503</v>
      </c>
      <c r="F188" s="6" t="s">
        <v>1208</v>
      </c>
      <c r="G188" s="7" t="str">
        <f>HYPERLINK("https://ovidsp.ovid.com/ovidweb.cgi?T=JS&amp;NEWS=n&amp;CSC=Y&amp;PAGE=booktext&amp;D=books&amp;SC=02272796&amp;EPUB=Y","https://ovidsp.ovid.com/ovidweb.cgi?T=JS&amp;NEWS=n&amp;CSC=Y&amp;PAGE=booktext&amp;D=books&amp;SC=02272796&amp;EPUB=Y")</f>
        <v>https://ovidsp.ovid.com/ovidweb.cgi?T=JS&amp;NEWS=n&amp;CSC=Y&amp;PAGE=booktext&amp;D=books&amp;SC=02272796&amp;EPUB=Y</v>
      </c>
      <c r="H188" s="8" t="s">
        <v>1795</v>
      </c>
    </row>
    <row r="189" spans="1:8" x14ac:dyDescent="0.3">
      <c r="A189" s="4" t="s">
        <v>2333</v>
      </c>
      <c r="B189" s="5">
        <v>44893</v>
      </c>
      <c r="C189" s="6" t="s">
        <v>2367</v>
      </c>
      <c r="D189" s="6" t="s">
        <v>1643</v>
      </c>
      <c r="E189" s="6" t="s">
        <v>2503</v>
      </c>
      <c r="F189" s="6" t="s">
        <v>1208</v>
      </c>
      <c r="G189" s="7" t="str">
        <f>HYPERLINK("https://ovidsp.ovid.com/ovidweb.cgi?T=JS&amp;NEWS=n&amp;CSC=Y&amp;PAGE=booktext&amp;D=books&amp;SC=01434403&amp;EPUB=Y","https://ovidsp.ovid.com/ovidweb.cgi?T=JS&amp;NEWS=n&amp;CSC=Y&amp;PAGE=booktext&amp;D=books&amp;SC=01434403&amp;EPUB=Y")</f>
        <v>https://ovidsp.ovid.com/ovidweb.cgi?T=JS&amp;NEWS=n&amp;CSC=Y&amp;PAGE=booktext&amp;D=books&amp;SC=01434403&amp;EPUB=Y</v>
      </c>
      <c r="H189" s="8" t="s">
        <v>1795</v>
      </c>
    </row>
    <row r="190" spans="1:8" x14ac:dyDescent="0.3">
      <c r="A190" s="4" t="s">
        <v>2495</v>
      </c>
      <c r="B190" s="5">
        <v>44893</v>
      </c>
      <c r="C190" s="6" t="s">
        <v>2097</v>
      </c>
      <c r="D190" s="6" t="s">
        <v>1162</v>
      </c>
      <c r="E190" s="6" t="s">
        <v>2503</v>
      </c>
      <c r="F190" s="6" t="s">
        <v>1208</v>
      </c>
      <c r="G190" s="7" t="str">
        <f>HYPERLINK("https://ovidsp.ovid.com/ovidweb.cgi?T=JS&amp;NEWS=n&amp;CSC=Y&amp;PAGE=booktext&amp;D=books&amp;SC=02050051&amp;EPUB=Y","https://ovidsp.ovid.com/ovidweb.cgi?T=JS&amp;NEWS=n&amp;CSC=Y&amp;PAGE=booktext&amp;D=books&amp;SC=02050051&amp;EPUB=Y")</f>
        <v>https://ovidsp.ovid.com/ovidweb.cgi?T=JS&amp;NEWS=n&amp;CSC=Y&amp;PAGE=booktext&amp;D=books&amp;SC=02050051&amp;EPUB=Y</v>
      </c>
      <c r="H190" s="8" t="s">
        <v>1795</v>
      </c>
    </row>
    <row r="191" spans="1:8" x14ac:dyDescent="0.3">
      <c r="A191" s="4" t="s">
        <v>145</v>
      </c>
      <c r="B191" s="5">
        <v>44893</v>
      </c>
      <c r="C191" s="6" t="s">
        <v>972</v>
      </c>
      <c r="D191" s="6" t="s">
        <v>1123</v>
      </c>
      <c r="E191" s="6" t="s">
        <v>2503</v>
      </c>
      <c r="F191" s="6" t="s">
        <v>1208</v>
      </c>
      <c r="G191" s="7" t="str">
        <f>HYPERLINK("https://ovidsp.ovid.com/ovidweb.cgi?T=JS&amp;NEWS=n&amp;CSC=Y&amp;PAGE=booktext&amp;D=books&amp;SC=01787206&amp;EPUB=Y","https://ovidsp.ovid.com/ovidweb.cgi?T=JS&amp;NEWS=n&amp;CSC=Y&amp;PAGE=booktext&amp;D=books&amp;SC=01787206&amp;EPUB=Y")</f>
        <v>https://ovidsp.ovid.com/ovidweb.cgi?T=JS&amp;NEWS=n&amp;CSC=Y&amp;PAGE=booktext&amp;D=books&amp;SC=01787206&amp;EPUB=Y</v>
      </c>
      <c r="H191" s="8" t="s">
        <v>1795</v>
      </c>
    </row>
    <row r="192" spans="1:8" x14ac:dyDescent="0.3">
      <c r="A192" s="4" t="s">
        <v>2377</v>
      </c>
      <c r="B192" s="5">
        <v>44893</v>
      </c>
      <c r="C192" s="6" t="s">
        <v>2373</v>
      </c>
      <c r="D192" s="6" t="s">
        <v>630</v>
      </c>
      <c r="E192" s="6" t="s">
        <v>2503</v>
      </c>
      <c r="F192" s="6" t="s">
        <v>1208</v>
      </c>
      <c r="G192" s="7" t="str">
        <f>HYPERLINK("https://ovidsp.ovid.com/ovidweb.cgi?T=JS&amp;NEWS=n&amp;CSC=Y&amp;PAGE=booktext&amp;D=books&amp;SC=02003493&amp;EPUB=Y","https://ovidsp.ovid.com/ovidweb.cgi?T=JS&amp;NEWS=n&amp;CSC=Y&amp;PAGE=booktext&amp;D=books&amp;SC=02003493&amp;EPUB=Y")</f>
        <v>https://ovidsp.ovid.com/ovidweb.cgi?T=JS&amp;NEWS=n&amp;CSC=Y&amp;PAGE=booktext&amp;D=books&amp;SC=02003493&amp;EPUB=Y</v>
      </c>
      <c r="H192" s="8" t="s">
        <v>1795</v>
      </c>
    </row>
    <row r="193" spans="1:8" x14ac:dyDescent="0.3">
      <c r="A193" s="4" t="s">
        <v>1508</v>
      </c>
      <c r="B193" s="5">
        <v>44893</v>
      </c>
      <c r="C193" s="6" t="s">
        <v>1696</v>
      </c>
      <c r="D193" s="6" t="s">
        <v>1533</v>
      </c>
      <c r="E193" s="6" t="s">
        <v>2503</v>
      </c>
      <c r="F193" s="6" t="s">
        <v>1208</v>
      </c>
      <c r="G193" s="7" t="str">
        <f>HYPERLINK("https://ovidsp.ovid.com/ovidweb.cgi?T=JS&amp;NEWS=n&amp;CSC=Y&amp;PAGE=booktext&amp;D=books&amp;SC=01884385&amp;EPUB=Y","https://ovidsp.ovid.com/ovidweb.cgi?T=JS&amp;NEWS=n&amp;CSC=Y&amp;PAGE=booktext&amp;D=books&amp;SC=01884385&amp;EPUB=Y")</f>
        <v>https://ovidsp.ovid.com/ovidweb.cgi?T=JS&amp;NEWS=n&amp;CSC=Y&amp;PAGE=booktext&amp;D=books&amp;SC=01884385&amp;EPUB=Y</v>
      </c>
      <c r="H193" s="8" t="s">
        <v>1795</v>
      </c>
    </row>
    <row r="194" spans="1:8" x14ac:dyDescent="0.3">
      <c r="A194" s="4" t="s">
        <v>317</v>
      </c>
      <c r="B194" s="5">
        <v>44893</v>
      </c>
      <c r="C194" s="6" t="s">
        <v>1460</v>
      </c>
      <c r="D194" s="6" t="s">
        <v>1847</v>
      </c>
      <c r="E194" s="6" t="s">
        <v>2503</v>
      </c>
      <c r="F194" s="6" t="s">
        <v>241</v>
      </c>
      <c r="G194" s="7" t="str">
        <f>HYPERLINK("https://ovidsp.ovid.com/ovidweb.cgi?T=JS&amp;NEWS=n&amp;CSC=Y&amp;PAGE=booktext&amp;D=books&amp;SC=02003494&amp;EPUB=Y","https://ovidsp.ovid.com/ovidweb.cgi?T=JS&amp;NEWS=n&amp;CSC=Y&amp;PAGE=booktext&amp;D=books&amp;SC=02003494&amp;EPUB=Y")</f>
        <v>https://ovidsp.ovid.com/ovidweb.cgi?T=JS&amp;NEWS=n&amp;CSC=Y&amp;PAGE=booktext&amp;D=books&amp;SC=02003494&amp;EPUB=Y</v>
      </c>
      <c r="H194" s="8" t="s">
        <v>1795</v>
      </c>
    </row>
    <row r="195" spans="1:8" x14ac:dyDescent="0.3">
      <c r="A195" s="4" t="s">
        <v>1340</v>
      </c>
      <c r="B195" s="5">
        <v>44893</v>
      </c>
      <c r="C195" s="6" t="s">
        <v>2319</v>
      </c>
      <c r="D195" s="6" t="s">
        <v>555</v>
      </c>
      <c r="E195" s="6" t="s">
        <v>2503</v>
      </c>
      <c r="F195" s="6" t="s">
        <v>1208</v>
      </c>
      <c r="G195" s="7" t="str">
        <f>HYPERLINK("https://ovidsp.ovid.com/ovidweb.cgi?T=JS&amp;NEWS=n&amp;CSC=Y&amp;PAGE=booktext&amp;D=books&amp;SC=01434551&amp;EPUB=Y","https://ovidsp.ovid.com/ovidweb.cgi?T=JS&amp;NEWS=n&amp;CSC=Y&amp;PAGE=booktext&amp;D=books&amp;SC=01434551&amp;EPUB=Y")</f>
        <v>https://ovidsp.ovid.com/ovidweb.cgi?T=JS&amp;NEWS=n&amp;CSC=Y&amp;PAGE=booktext&amp;D=books&amp;SC=01434551&amp;EPUB=Y</v>
      </c>
      <c r="H195" s="8" t="s">
        <v>1795</v>
      </c>
    </row>
    <row r="196" spans="1:8" x14ac:dyDescent="0.3">
      <c r="A196" s="4" t="s">
        <v>1712</v>
      </c>
      <c r="B196" s="5">
        <v>44893</v>
      </c>
      <c r="C196" s="6" t="s">
        <v>692</v>
      </c>
      <c r="D196" s="6" t="s">
        <v>1544</v>
      </c>
      <c r="E196" s="6" t="s">
        <v>2503</v>
      </c>
      <c r="F196" s="6" t="s">
        <v>1208</v>
      </c>
      <c r="G196" s="7" t="str">
        <f>HYPERLINK("https://ovidsp.ovid.com/ovidweb.cgi?T=JS&amp;NEWS=n&amp;CSC=Y&amp;PAGE=booktext&amp;D=books&amp;SC=01437915&amp;EPUB=Y","https://ovidsp.ovid.com/ovidweb.cgi?T=JS&amp;NEWS=n&amp;CSC=Y&amp;PAGE=booktext&amp;D=books&amp;SC=01437915&amp;EPUB=Y")</f>
        <v>https://ovidsp.ovid.com/ovidweb.cgi?T=JS&amp;NEWS=n&amp;CSC=Y&amp;PAGE=booktext&amp;D=books&amp;SC=01437915&amp;EPUB=Y</v>
      </c>
      <c r="H196" s="8" t="s">
        <v>1795</v>
      </c>
    </row>
    <row r="197" spans="1:8" x14ac:dyDescent="0.3">
      <c r="A197" s="4" t="s">
        <v>1595</v>
      </c>
      <c r="B197" s="5">
        <v>44893</v>
      </c>
      <c r="C197" s="6" t="s">
        <v>1867</v>
      </c>
      <c r="D197" s="6" t="s">
        <v>1670</v>
      </c>
      <c r="E197" s="6" t="s">
        <v>2503</v>
      </c>
      <c r="F197" s="6" t="s">
        <v>1208</v>
      </c>
      <c r="G197" s="7" t="str">
        <f>HYPERLINK("https://ovidsp.ovid.com/ovidweb.cgi?T=JS&amp;NEWS=n&amp;CSC=Y&amp;PAGE=booktext&amp;D=books&amp;SC=01434630&amp;EPUB=Y","https://ovidsp.ovid.com/ovidweb.cgi?T=JS&amp;NEWS=n&amp;CSC=Y&amp;PAGE=booktext&amp;D=books&amp;SC=01434630&amp;EPUB=Y")</f>
        <v>https://ovidsp.ovid.com/ovidweb.cgi?T=JS&amp;NEWS=n&amp;CSC=Y&amp;PAGE=booktext&amp;D=books&amp;SC=01434630&amp;EPUB=Y</v>
      </c>
      <c r="H197" s="8" t="s">
        <v>1795</v>
      </c>
    </row>
    <row r="198" spans="1:8" x14ac:dyDescent="0.3">
      <c r="A198" s="4" t="s">
        <v>2088</v>
      </c>
      <c r="B198" s="5">
        <v>44893</v>
      </c>
      <c r="C198" s="6" t="s">
        <v>624</v>
      </c>
      <c r="D198" s="6" t="s">
        <v>2604</v>
      </c>
      <c r="E198" s="6" t="s">
        <v>2503</v>
      </c>
      <c r="F198" s="6" t="s">
        <v>1208</v>
      </c>
      <c r="G198" s="7" t="str">
        <f>HYPERLINK("https://ovidsp.ovid.com/ovidweb.cgi?T=JS&amp;NEWS=n&amp;CSC=Y&amp;PAGE=booktext&amp;D=books&amp;SC=01434615&amp;EPUB=Y","https://ovidsp.ovid.com/ovidweb.cgi?T=JS&amp;NEWS=n&amp;CSC=Y&amp;PAGE=booktext&amp;D=books&amp;SC=01434615&amp;EPUB=Y")</f>
        <v>https://ovidsp.ovid.com/ovidweb.cgi?T=JS&amp;NEWS=n&amp;CSC=Y&amp;PAGE=booktext&amp;D=books&amp;SC=01434615&amp;EPUB=Y</v>
      </c>
      <c r="H198" s="8" t="s">
        <v>1795</v>
      </c>
    </row>
    <row r="199" spans="1:8" x14ac:dyDescent="0.3">
      <c r="A199" s="4" t="s">
        <v>2596</v>
      </c>
      <c r="B199" s="5">
        <v>44893</v>
      </c>
      <c r="C199" s="6" t="s">
        <v>2367</v>
      </c>
      <c r="D199" s="6" t="s">
        <v>1643</v>
      </c>
      <c r="E199" s="6" t="s">
        <v>2503</v>
      </c>
      <c r="F199" s="6" t="s">
        <v>1208</v>
      </c>
      <c r="G199" s="7" t="str">
        <f>HYPERLINK("https://ovidsp.ovid.com/ovidweb.cgi?T=JS&amp;NEWS=n&amp;CSC=Y&amp;PAGE=booktext&amp;D=books&amp;SC=01434429&amp;EPUB=Y","https://ovidsp.ovid.com/ovidweb.cgi?T=JS&amp;NEWS=n&amp;CSC=Y&amp;PAGE=booktext&amp;D=books&amp;SC=01434429&amp;EPUB=Y")</f>
        <v>https://ovidsp.ovid.com/ovidweb.cgi?T=JS&amp;NEWS=n&amp;CSC=Y&amp;PAGE=booktext&amp;D=books&amp;SC=01434429&amp;EPUB=Y</v>
      </c>
      <c r="H199" s="8" t="s">
        <v>1795</v>
      </c>
    </row>
    <row r="200" spans="1:8" x14ac:dyDescent="0.3">
      <c r="A200" s="4" t="s">
        <v>758</v>
      </c>
      <c r="B200" s="5">
        <v>44893</v>
      </c>
      <c r="C200" s="6" t="s">
        <v>2367</v>
      </c>
      <c r="D200" s="6" t="s">
        <v>1643</v>
      </c>
      <c r="E200" s="6" t="s">
        <v>2503</v>
      </c>
      <c r="F200" s="6" t="s">
        <v>1208</v>
      </c>
      <c r="G200" s="7" t="str">
        <f>HYPERLINK("https://ovidsp.ovid.com/ovidweb.cgi?T=JS&amp;NEWS=n&amp;CSC=Y&amp;PAGE=booktext&amp;D=books&amp;SC=01434442&amp;EPUB=Y","https://ovidsp.ovid.com/ovidweb.cgi?T=JS&amp;NEWS=n&amp;CSC=Y&amp;PAGE=booktext&amp;D=books&amp;SC=01434442&amp;EPUB=Y")</f>
        <v>https://ovidsp.ovid.com/ovidweb.cgi?T=JS&amp;NEWS=n&amp;CSC=Y&amp;PAGE=booktext&amp;D=books&amp;SC=01434442&amp;EPUB=Y</v>
      </c>
      <c r="H200" s="8" t="s">
        <v>1795</v>
      </c>
    </row>
    <row r="201" spans="1:8" x14ac:dyDescent="0.3">
      <c r="A201" s="4" t="s">
        <v>1408</v>
      </c>
      <c r="B201" s="5">
        <v>44893</v>
      </c>
      <c r="C201" s="6" t="s">
        <v>2367</v>
      </c>
      <c r="D201" s="6" t="s">
        <v>1643</v>
      </c>
      <c r="E201" s="6" t="s">
        <v>2503</v>
      </c>
      <c r="F201" s="6" t="s">
        <v>1208</v>
      </c>
      <c r="G201" s="7" t="str">
        <f>HYPERLINK("https://ovidsp.ovid.com/ovidweb.cgi?T=JS&amp;NEWS=n&amp;CSC=Y&amp;PAGE=booktext&amp;D=books&amp;SC=01437919&amp;EPUB=Y","https://ovidsp.ovid.com/ovidweb.cgi?T=JS&amp;NEWS=n&amp;CSC=Y&amp;PAGE=booktext&amp;D=books&amp;SC=01437919&amp;EPUB=Y")</f>
        <v>https://ovidsp.ovid.com/ovidweb.cgi?T=JS&amp;NEWS=n&amp;CSC=Y&amp;PAGE=booktext&amp;D=books&amp;SC=01437919&amp;EPUB=Y</v>
      </c>
      <c r="H201" s="8" t="s">
        <v>1795</v>
      </c>
    </row>
    <row r="202" spans="1:8" x14ac:dyDescent="0.3">
      <c r="A202" s="4" t="s">
        <v>1299</v>
      </c>
      <c r="B202" s="5">
        <v>44893</v>
      </c>
      <c r="C202" s="6" t="s">
        <v>1048</v>
      </c>
      <c r="D202" s="6" t="s">
        <v>2352</v>
      </c>
      <c r="E202" s="6" t="s">
        <v>2503</v>
      </c>
      <c r="F202" s="6" t="s">
        <v>619</v>
      </c>
      <c r="G202" s="7" t="str">
        <f>HYPERLINK("https://ovidsp.ovid.com/ovidweb.cgi?T=JS&amp;NEWS=n&amp;CSC=Y&amp;PAGE=booktext&amp;D=books&amp;SC=02118291&amp;EPUB=Y","https://ovidsp.ovid.com/ovidweb.cgi?T=JS&amp;NEWS=n&amp;CSC=Y&amp;PAGE=booktext&amp;D=books&amp;SC=02118291&amp;EPUB=Y")</f>
        <v>https://ovidsp.ovid.com/ovidweb.cgi?T=JS&amp;NEWS=n&amp;CSC=Y&amp;PAGE=booktext&amp;D=books&amp;SC=02118291&amp;EPUB=Y</v>
      </c>
      <c r="H202" s="8" t="s">
        <v>1795</v>
      </c>
    </row>
    <row r="203" spans="1:8" x14ac:dyDescent="0.3">
      <c r="A203" s="4" t="s">
        <v>1495</v>
      </c>
      <c r="B203" s="5">
        <v>44893</v>
      </c>
      <c r="C203" s="6" t="s">
        <v>1775</v>
      </c>
      <c r="D203" s="6" t="s">
        <v>107</v>
      </c>
      <c r="E203" s="6" t="s">
        <v>2503</v>
      </c>
      <c r="F203" s="6" t="s">
        <v>241</v>
      </c>
      <c r="G203" s="7" t="str">
        <f>HYPERLINK("https://ovidsp.ovid.com/ovidweb.cgi?T=JS&amp;NEWS=n&amp;CSC=Y&amp;PAGE=booktext&amp;D=books&amp;SC=01437816&amp;EPUB=Y","https://ovidsp.ovid.com/ovidweb.cgi?T=JS&amp;NEWS=n&amp;CSC=Y&amp;PAGE=booktext&amp;D=books&amp;SC=01437816&amp;EPUB=Y")</f>
        <v>https://ovidsp.ovid.com/ovidweb.cgi?T=JS&amp;NEWS=n&amp;CSC=Y&amp;PAGE=booktext&amp;D=books&amp;SC=01437816&amp;EPUB=Y</v>
      </c>
      <c r="H203" s="8" t="s">
        <v>1795</v>
      </c>
    </row>
    <row r="204" spans="1:8" x14ac:dyDescent="0.3">
      <c r="A204" s="4" t="s">
        <v>1705</v>
      </c>
      <c r="B204" s="5">
        <v>44893</v>
      </c>
      <c r="C204" s="6" t="s">
        <v>2068</v>
      </c>
      <c r="D204" s="6" t="s">
        <v>288</v>
      </c>
      <c r="E204" s="6" t="s">
        <v>2503</v>
      </c>
      <c r="F204" s="6" t="s">
        <v>1208</v>
      </c>
      <c r="G204" s="7" t="str">
        <f>HYPERLINK("https://ovidsp.ovid.com/ovidweb.cgi?T=JS&amp;NEWS=n&amp;CSC=Y&amp;PAGE=booktext&amp;D=books&amp;SC=01626536&amp;EPUB=Y","https://ovidsp.ovid.com/ovidweb.cgi?T=JS&amp;NEWS=n&amp;CSC=Y&amp;PAGE=booktext&amp;D=books&amp;SC=01626536&amp;EPUB=Y")</f>
        <v>https://ovidsp.ovid.com/ovidweb.cgi?T=JS&amp;NEWS=n&amp;CSC=Y&amp;PAGE=booktext&amp;D=books&amp;SC=01626536&amp;EPUB=Y</v>
      </c>
      <c r="H204" s="8" t="s">
        <v>1795</v>
      </c>
    </row>
    <row r="205" spans="1:8" x14ac:dyDescent="0.3">
      <c r="A205" s="4" t="s">
        <v>421</v>
      </c>
      <c r="B205" s="5">
        <v>44893</v>
      </c>
      <c r="C205" s="6" t="s">
        <v>431</v>
      </c>
      <c r="D205" s="6" t="s">
        <v>1937</v>
      </c>
      <c r="E205" s="6" t="s">
        <v>2503</v>
      </c>
      <c r="F205" s="6" t="s">
        <v>619</v>
      </c>
      <c r="G205" s="7" t="str">
        <f>HYPERLINK("https://ovidsp.ovid.com/ovidweb.cgi?T=JS&amp;NEWS=n&amp;CSC=Y&amp;PAGE=booktext&amp;D=books&amp;SC=01884409&amp;EPUB=Y","https://ovidsp.ovid.com/ovidweb.cgi?T=JS&amp;NEWS=n&amp;CSC=Y&amp;PAGE=booktext&amp;D=books&amp;SC=01884409&amp;EPUB=Y")</f>
        <v>https://ovidsp.ovid.com/ovidweb.cgi?T=JS&amp;NEWS=n&amp;CSC=Y&amp;PAGE=booktext&amp;D=books&amp;SC=01884409&amp;EPUB=Y</v>
      </c>
      <c r="H205" s="8" t="s">
        <v>1795</v>
      </c>
    </row>
    <row r="206" spans="1:8" x14ac:dyDescent="0.3">
      <c r="A206" s="4" t="s">
        <v>421</v>
      </c>
      <c r="B206" s="5">
        <v>44893</v>
      </c>
      <c r="C206" s="6" t="s">
        <v>2309</v>
      </c>
      <c r="D206" s="6" t="s">
        <v>712</v>
      </c>
      <c r="E206" s="6" t="s">
        <v>2503</v>
      </c>
      <c r="F206" s="6" t="s">
        <v>241</v>
      </c>
      <c r="G206" s="7" t="str">
        <f>HYPERLINK("https://ovidsp.ovid.com/ovidweb.cgi?T=JS&amp;NEWS=n&amp;CSC=Y&amp;PAGE=booktext&amp;D=books&amp;SC=01434390&amp;EPUB=Y","https://ovidsp.ovid.com/ovidweb.cgi?T=JS&amp;NEWS=n&amp;CSC=Y&amp;PAGE=booktext&amp;D=books&amp;SC=01434390&amp;EPUB=Y")</f>
        <v>https://ovidsp.ovid.com/ovidweb.cgi?T=JS&amp;NEWS=n&amp;CSC=Y&amp;PAGE=booktext&amp;D=books&amp;SC=01434390&amp;EPUB=Y</v>
      </c>
      <c r="H206" s="8" t="s">
        <v>1795</v>
      </c>
    </row>
    <row r="207" spans="1:8" x14ac:dyDescent="0.3">
      <c r="A207" s="4" t="s">
        <v>2501</v>
      </c>
      <c r="B207" s="5">
        <v>44893</v>
      </c>
      <c r="C207" s="6" t="s">
        <v>1388</v>
      </c>
      <c r="D207" s="6" t="s">
        <v>805</v>
      </c>
      <c r="E207" s="6" t="s">
        <v>2503</v>
      </c>
      <c r="F207" s="6" t="s">
        <v>1208</v>
      </c>
      <c r="G207" s="7" t="str">
        <f>HYPERLINK("https://ovidsp.ovid.com/ovidweb.cgi?T=JS&amp;NEWS=n&amp;CSC=Y&amp;PAGE=booktext&amp;D=books&amp;SC=02107292&amp;EPUB=Y","https://ovidsp.ovid.com/ovidweb.cgi?T=JS&amp;NEWS=n&amp;CSC=Y&amp;PAGE=booktext&amp;D=books&amp;SC=02107292&amp;EPUB=Y")</f>
        <v>https://ovidsp.ovid.com/ovidweb.cgi?T=JS&amp;NEWS=n&amp;CSC=Y&amp;PAGE=booktext&amp;D=books&amp;SC=02107292&amp;EPUB=Y</v>
      </c>
      <c r="H207" s="8" t="s">
        <v>1795</v>
      </c>
    </row>
    <row r="208" spans="1:8" x14ac:dyDescent="0.3">
      <c r="A208" s="4" t="s">
        <v>778</v>
      </c>
      <c r="B208" s="5">
        <v>44893</v>
      </c>
      <c r="C208" s="6" t="s">
        <v>1857</v>
      </c>
      <c r="D208" s="6" t="s">
        <v>2114</v>
      </c>
      <c r="E208" s="6" t="s">
        <v>2503</v>
      </c>
      <c r="F208" s="6" t="s">
        <v>1208</v>
      </c>
      <c r="G208" s="7" t="str">
        <f>HYPERLINK("https://ovidsp.ovid.com/ovidweb.cgi?T=JS&amp;NEWS=n&amp;CSC=Y&amp;PAGE=booktext&amp;D=books&amp;SC=02181744&amp;EPUB=Y","https://ovidsp.ovid.com/ovidweb.cgi?T=JS&amp;NEWS=n&amp;CSC=Y&amp;PAGE=booktext&amp;D=books&amp;SC=02181744&amp;EPUB=Y")</f>
        <v>https://ovidsp.ovid.com/ovidweb.cgi?T=JS&amp;NEWS=n&amp;CSC=Y&amp;PAGE=booktext&amp;D=books&amp;SC=02181744&amp;EPUB=Y</v>
      </c>
      <c r="H208" s="8" t="s">
        <v>1795</v>
      </c>
    </row>
    <row r="209" spans="1:8" x14ac:dyDescent="0.3">
      <c r="A209" s="4" t="s">
        <v>584</v>
      </c>
      <c r="B209" s="5">
        <v>44893</v>
      </c>
      <c r="C209" s="6" t="s">
        <v>303</v>
      </c>
      <c r="D209" s="6" t="s">
        <v>1794</v>
      </c>
      <c r="E209" s="6" t="s">
        <v>2503</v>
      </c>
      <c r="F209" s="6" t="s">
        <v>241</v>
      </c>
      <c r="G209" s="7" t="str">
        <f>HYPERLINK("https://ovidsp.ovid.com/ovidweb.cgi?T=JS&amp;NEWS=n&amp;CSC=Y&amp;PAGE=booktext&amp;D=books&amp;SC=02091939&amp;EPUB=Y","https://ovidsp.ovid.com/ovidweb.cgi?T=JS&amp;NEWS=n&amp;CSC=Y&amp;PAGE=booktext&amp;D=books&amp;SC=02091939&amp;EPUB=Y")</f>
        <v>https://ovidsp.ovid.com/ovidweb.cgi?T=JS&amp;NEWS=n&amp;CSC=Y&amp;PAGE=booktext&amp;D=books&amp;SC=02091939&amp;EPUB=Y</v>
      </c>
      <c r="H209" s="8" t="s">
        <v>1795</v>
      </c>
    </row>
    <row r="210" spans="1:8" x14ac:dyDescent="0.3">
      <c r="A210" s="4" t="s">
        <v>584</v>
      </c>
      <c r="B210" s="5">
        <v>44893</v>
      </c>
      <c r="C210" s="6" t="s">
        <v>699</v>
      </c>
      <c r="D210" s="6" t="s">
        <v>36</v>
      </c>
      <c r="E210" s="6" t="s">
        <v>2503</v>
      </c>
      <c r="F210" s="6" t="s">
        <v>1208</v>
      </c>
      <c r="G210" s="7" t="str">
        <f>HYPERLINK("https://ovidsp.ovid.com/ovidweb.cgi?T=JS&amp;NEWS=n&amp;CSC=Y&amp;PAGE=booktext&amp;D=books&amp;SC=01833051&amp;EPUB=Y","https://ovidsp.ovid.com/ovidweb.cgi?T=JS&amp;NEWS=n&amp;CSC=Y&amp;PAGE=booktext&amp;D=books&amp;SC=01833051&amp;EPUB=Y")</f>
        <v>https://ovidsp.ovid.com/ovidweb.cgi?T=JS&amp;NEWS=n&amp;CSC=Y&amp;PAGE=booktext&amp;D=books&amp;SC=01833051&amp;EPUB=Y</v>
      </c>
      <c r="H210" s="8" t="s">
        <v>1795</v>
      </c>
    </row>
    <row r="211" spans="1:8" x14ac:dyDescent="0.3">
      <c r="A211" s="4" t="s">
        <v>1445</v>
      </c>
      <c r="B211" s="5">
        <v>44893</v>
      </c>
      <c r="C211" s="6" t="s">
        <v>1301</v>
      </c>
      <c r="D211" s="6" t="s">
        <v>2132</v>
      </c>
      <c r="E211" s="6" t="s">
        <v>2503</v>
      </c>
      <c r="F211" s="6" t="s">
        <v>1208</v>
      </c>
      <c r="G211" s="7" t="str">
        <f>HYPERLINK("https://ovidsp.ovid.com/ovidweb.cgi?T=JS&amp;NEWS=n&amp;CSC=Y&amp;PAGE=booktext&amp;D=books&amp;SC=02102014&amp;EPUB=Y","https://ovidsp.ovid.com/ovidweb.cgi?T=JS&amp;NEWS=n&amp;CSC=Y&amp;PAGE=booktext&amp;D=books&amp;SC=02102014&amp;EPUB=Y")</f>
        <v>https://ovidsp.ovid.com/ovidweb.cgi?T=JS&amp;NEWS=n&amp;CSC=Y&amp;PAGE=booktext&amp;D=books&amp;SC=02102014&amp;EPUB=Y</v>
      </c>
      <c r="H211" s="8" t="s">
        <v>1795</v>
      </c>
    </row>
    <row r="212" spans="1:8" x14ac:dyDescent="0.3">
      <c r="A212" s="4" t="s">
        <v>1401</v>
      </c>
      <c r="B212" s="5">
        <v>44893</v>
      </c>
      <c r="C212" s="6" t="s">
        <v>2367</v>
      </c>
      <c r="D212" s="6" t="s">
        <v>1643</v>
      </c>
      <c r="E212" s="6" t="s">
        <v>2503</v>
      </c>
      <c r="F212" s="6" t="s">
        <v>1208</v>
      </c>
      <c r="G212" s="7" t="str">
        <f>HYPERLINK("https://ovidsp.ovid.com/ovidweb.cgi?T=JS&amp;NEWS=n&amp;CSC=Y&amp;PAGE=booktext&amp;D=books&amp;SC=01434529&amp;EPUB=Y","https://ovidsp.ovid.com/ovidweb.cgi?T=JS&amp;NEWS=n&amp;CSC=Y&amp;PAGE=booktext&amp;D=books&amp;SC=01434529&amp;EPUB=Y")</f>
        <v>https://ovidsp.ovid.com/ovidweb.cgi?T=JS&amp;NEWS=n&amp;CSC=Y&amp;PAGE=booktext&amp;D=books&amp;SC=01434529&amp;EPUB=Y</v>
      </c>
      <c r="H212" s="8" t="s">
        <v>1795</v>
      </c>
    </row>
    <row r="213" spans="1:8" x14ac:dyDescent="0.3">
      <c r="A213" s="4" t="s">
        <v>487</v>
      </c>
      <c r="B213" s="5">
        <v>44893</v>
      </c>
      <c r="C213" s="6" t="s">
        <v>2367</v>
      </c>
      <c r="D213" s="6" t="s">
        <v>1643</v>
      </c>
      <c r="E213" s="6" t="s">
        <v>2503</v>
      </c>
      <c r="F213" s="6" t="s">
        <v>1208</v>
      </c>
      <c r="G213" s="7" t="str">
        <f>HYPERLINK("https://ovidsp.ovid.com/ovidweb.cgi?T=JS&amp;NEWS=n&amp;CSC=Y&amp;PAGE=booktext&amp;D=books&amp;SC=01434307&amp;EPUB=Y","https://ovidsp.ovid.com/ovidweb.cgi?T=JS&amp;NEWS=n&amp;CSC=Y&amp;PAGE=booktext&amp;D=books&amp;SC=01434307&amp;EPUB=Y")</f>
        <v>https://ovidsp.ovid.com/ovidweb.cgi?T=JS&amp;NEWS=n&amp;CSC=Y&amp;PAGE=booktext&amp;D=books&amp;SC=01434307&amp;EPUB=Y</v>
      </c>
      <c r="H213" s="8" t="s">
        <v>1795</v>
      </c>
    </row>
    <row r="214" spans="1:8" x14ac:dyDescent="0.3">
      <c r="A214" s="4" t="s">
        <v>2189</v>
      </c>
      <c r="B214" s="5">
        <v>44893</v>
      </c>
      <c r="C214" s="6" t="s">
        <v>2367</v>
      </c>
      <c r="D214" s="6" t="s">
        <v>1643</v>
      </c>
      <c r="E214" s="6" t="s">
        <v>2503</v>
      </c>
      <c r="F214" s="6" t="s">
        <v>1208</v>
      </c>
      <c r="G214" s="7" t="str">
        <f>HYPERLINK("https://ovidsp.ovid.com/ovidweb.cgi?T=JS&amp;NEWS=n&amp;CSC=Y&amp;PAGE=booktext&amp;D=books&amp;SC=01434421&amp;EPUB=Y","https://ovidsp.ovid.com/ovidweb.cgi?T=JS&amp;NEWS=n&amp;CSC=Y&amp;PAGE=booktext&amp;D=books&amp;SC=01434421&amp;EPUB=Y")</f>
        <v>https://ovidsp.ovid.com/ovidweb.cgi?T=JS&amp;NEWS=n&amp;CSC=Y&amp;PAGE=booktext&amp;D=books&amp;SC=01434421&amp;EPUB=Y</v>
      </c>
      <c r="H214" s="8" t="s">
        <v>1795</v>
      </c>
    </row>
    <row r="215" spans="1:8" x14ac:dyDescent="0.3">
      <c r="A215" s="4" t="s">
        <v>1210</v>
      </c>
      <c r="B215" s="5">
        <v>44893</v>
      </c>
      <c r="C215" s="6" t="s">
        <v>1393</v>
      </c>
      <c r="D215" s="6" t="s">
        <v>190</v>
      </c>
      <c r="E215" s="6" t="s">
        <v>2503</v>
      </c>
      <c r="F215" s="6" t="s">
        <v>1208</v>
      </c>
      <c r="G215" s="7" t="str">
        <f>HYPERLINK("https://ovidsp.ovid.com/ovidweb.cgi?T=JS&amp;NEWS=n&amp;CSC=Y&amp;PAGE=booktext&amp;D=books&amp;SC=01929396&amp;EPUB=Y","https://ovidsp.ovid.com/ovidweb.cgi?T=JS&amp;NEWS=n&amp;CSC=Y&amp;PAGE=booktext&amp;D=books&amp;SC=01929396&amp;EPUB=Y")</f>
        <v>https://ovidsp.ovid.com/ovidweb.cgi?T=JS&amp;NEWS=n&amp;CSC=Y&amp;PAGE=booktext&amp;D=books&amp;SC=01929396&amp;EPUB=Y</v>
      </c>
      <c r="H215" s="8" t="s">
        <v>1795</v>
      </c>
    </row>
    <row r="216" spans="1:8" x14ac:dyDescent="0.3">
      <c r="A216" s="4" t="s">
        <v>635</v>
      </c>
      <c r="B216" s="5">
        <v>44893</v>
      </c>
      <c r="C216" s="6" t="s">
        <v>2531</v>
      </c>
      <c r="D216" s="6" t="s">
        <v>1955</v>
      </c>
      <c r="E216" s="6" t="s">
        <v>2503</v>
      </c>
      <c r="F216" s="6" t="s">
        <v>1208</v>
      </c>
      <c r="G216" s="7" t="str">
        <f>HYPERLINK("https://ovidsp.ovid.com/ovidweb.cgi?T=JS&amp;NEWS=n&amp;CSC=Y&amp;PAGE=booktext&amp;D=books&amp;SC=01703957&amp;EPUB=Y","https://ovidsp.ovid.com/ovidweb.cgi?T=JS&amp;NEWS=n&amp;CSC=Y&amp;PAGE=booktext&amp;D=books&amp;SC=01703957&amp;EPUB=Y")</f>
        <v>https://ovidsp.ovid.com/ovidweb.cgi?T=JS&amp;NEWS=n&amp;CSC=Y&amp;PAGE=booktext&amp;D=books&amp;SC=01703957&amp;EPUB=Y</v>
      </c>
      <c r="H216" s="8" t="s">
        <v>1795</v>
      </c>
    </row>
    <row r="217" spans="1:8" x14ac:dyDescent="0.3">
      <c r="A217" s="4" t="s">
        <v>2444</v>
      </c>
      <c r="B217" s="5">
        <v>44893</v>
      </c>
      <c r="C217" s="6" t="s">
        <v>2367</v>
      </c>
      <c r="D217" s="6" t="s">
        <v>1643</v>
      </c>
      <c r="E217" s="6" t="s">
        <v>2503</v>
      </c>
      <c r="F217" s="6" t="s">
        <v>1208</v>
      </c>
      <c r="G217" s="7" t="str">
        <f>HYPERLINK("https://ovidsp.ovid.com/ovidweb.cgi?T=JS&amp;NEWS=n&amp;CSC=Y&amp;PAGE=booktext&amp;D=books&amp;SC=01434252&amp;EPUB=Y","https://ovidsp.ovid.com/ovidweb.cgi?T=JS&amp;NEWS=n&amp;CSC=Y&amp;PAGE=booktext&amp;D=books&amp;SC=01434252&amp;EPUB=Y")</f>
        <v>https://ovidsp.ovid.com/ovidweb.cgi?T=JS&amp;NEWS=n&amp;CSC=Y&amp;PAGE=booktext&amp;D=books&amp;SC=01434252&amp;EPUB=Y</v>
      </c>
      <c r="H217" s="8" t="s">
        <v>1795</v>
      </c>
    </row>
    <row r="218" spans="1:8" x14ac:dyDescent="0.3">
      <c r="A218" s="4" t="s">
        <v>2303</v>
      </c>
      <c r="B218" s="5">
        <v>44893</v>
      </c>
      <c r="C218" s="6" t="s">
        <v>1342</v>
      </c>
      <c r="D218" s="6" t="s">
        <v>2378</v>
      </c>
      <c r="E218" s="6" t="s">
        <v>2503</v>
      </c>
      <c r="F218" s="6" t="s">
        <v>241</v>
      </c>
      <c r="G218" s="7" t="str">
        <f>HYPERLINK("https://ovidsp.ovid.com/ovidweb.cgi?T=JS&amp;NEWS=n&amp;CSC=Y&amp;PAGE=booktext&amp;D=books&amp;SC=02272332&amp;EPUB=Y","https://ovidsp.ovid.com/ovidweb.cgi?T=JS&amp;NEWS=n&amp;CSC=Y&amp;PAGE=booktext&amp;D=books&amp;SC=02272332&amp;EPUB=Y")</f>
        <v>https://ovidsp.ovid.com/ovidweb.cgi?T=JS&amp;NEWS=n&amp;CSC=Y&amp;PAGE=booktext&amp;D=books&amp;SC=02272332&amp;EPUB=Y</v>
      </c>
      <c r="H218" s="8" t="s">
        <v>1795</v>
      </c>
    </row>
    <row r="219" spans="1:8" x14ac:dyDescent="0.3">
      <c r="A219" s="4" t="s">
        <v>798</v>
      </c>
      <c r="B219" s="5">
        <v>44893</v>
      </c>
      <c r="C219" s="6" t="s">
        <v>2367</v>
      </c>
      <c r="D219" s="6" t="s">
        <v>1643</v>
      </c>
      <c r="E219" s="6" t="s">
        <v>2503</v>
      </c>
      <c r="F219" s="6" t="s">
        <v>1208</v>
      </c>
      <c r="G219" s="7" t="str">
        <f>HYPERLINK("https://ovidsp.ovid.com/ovidweb.cgi?T=JS&amp;NEWS=n&amp;CSC=Y&amp;PAGE=booktext&amp;D=books&amp;SC=01434293&amp;EPUB=Y","https://ovidsp.ovid.com/ovidweb.cgi?T=JS&amp;NEWS=n&amp;CSC=Y&amp;PAGE=booktext&amp;D=books&amp;SC=01434293&amp;EPUB=Y")</f>
        <v>https://ovidsp.ovid.com/ovidweb.cgi?T=JS&amp;NEWS=n&amp;CSC=Y&amp;PAGE=booktext&amp;D=books&amp;SC=01434293&amp;EPUB=Y</v>
      </c>
      <c r="H219" s="8" t="s">
        <v>1795</v>
      </c>
    </row>
    <row r="220" spans="1:8" x14ac:dyDescent="0.3">
      <c r="A220" s="4" t="s">
        <v>1934</v>
      </c>
      <c r="B220" s="5">
        <v>44893</v>
      </c>
      <c r="C220" s="6" t="s">
        <v>1512</v>
      </c>
      <c r="D220" s="6" t="s">
        <v>516</v>
      </c>
      <c r="E220" s="6" t="s">
        <v>2503</v>
      </c>
      <c r="F220" s="6" t="s">
        <v>1208</v>
      </c>
      <c r="G220" s="7" t="str">
        <f>HYPERLINK("https://ovidsp.ovid.com/ovidweb.cgi?T=JS&amp;NEWS=n&amp;CSC=Y&amp;PAGE=booktext&amp;D=books&amp;SC=01626533&amp;EPUB=Y","https://ovidsp.ovid.com/ovidweb.cgi?T=JS&amp;NEWS=n&amp;CSC=Y&amp;PAGE=booktext&amp;D=books&amp;SC=01626533&amp;EPUB=Y")</f>
        <v>https://ovidsp.ovid.com/ovidweb.cgi?T=JS&amp;NEWS=n&amp;CSC=Y&amp;PAGE=booktext&amp;D=books&amp;SC=01626533&amp;EPUB=Y</v>
      </c>
      <c r="H220" s="8" t="s">
        <v>1795</v>
      </c>
    </row>
    <row r="221" spans="1:8" x14ac:dyDescent="0.3">
      <c r="A221" s="4" t="s">
        <v>2473</v>
      </c>
      <c r="B221" s="5">
        <v>44893</v>
      </c>
      <c r="C221" s="6" t="s">
        <v>1155</v>
      </c>
      <c r="D221" s="6" t="s">
        <v>1110</v>
      </c>
      <c r="E221" s="6" t="s">
        <v>2503</v>
      </c>
      <c r="F221" s="6" t="s">
        <v>1208</v>
      </c>
      <c r="G221" s="7" t="str">
        <f>HYPERLINK("https://ovidsp.ovid.com/ovidweb.cgi?T=JS&amp;NEWS=n&amp;CSC=Y&amp;PAGE=booktext&amp;D=books&amp;SC=01434404&amp;EPUB=Y","https://ovidsp.ovid.com/ovidweb.cgi?T=JS&amp;NEWS=n&amp;CSC=Y&amp;PAGE=booktext&amp;D=books&amp;SC=01434404&amp;EPUB=Y")</f>
        <v>https://ovidsp.ovid.com/ovidweb.cgi?T=JS&amp;NEWS=n&amp;CSC=Y&amp;PAGE=booktext&amp;D=books&amp;SC=01434404&amp;EPUB=Y</v>
      </c>
      <c r="H221" s="8" t="s">
        <v>1795</v>
      </c>
    </row>
    <row r="222" spans="1:8" x14ac:dyDescent="0.3">
      <c r="A222" s="4" t="s">
        <v>1255</v>
      </c>
      <c r="B222" s="5">
        <v>44893</v>
      </c>
      <c r="C222" s="6" t="s">
        <v>1221</v>
      </c>
      <c r="D222" s="6" t="s">
        <v>1838</v>
      </c>
      <c r="E222" s="6" t="s">
        <v>2503</v>
      </c>
      <c r="F222" s="6" t="s">
        <v>1208</v>
      </c>
      <c r="G222" s="7" t="str">
        <f>HYPERLINK("https://ovidsp.ovid.com/ovidweb.cgi?T=JS&amp;NEWS=n&amp;CSC=Y&amp;PAGE=booktext&amp;D=books&amp;SC=01437829&amp;EPUB=Y","https://ovidsp.ovid.com/ovidweb.cgi?T=JS&amp;NEWS=n&amp;CSC=Y&amp;PAGE=booktext&amp;D=books&amp;SC=01437829&amp;EPUB=Y")</f>
        <v>https://ovidsp.ovid.com/ovidweb.cgi?T=JS&amp;NEWS=n&amp;CSC=Y&amp;PAGE=booktext&amp;D=books&amp;SC=01437829&amp;EPUB=Y</v>
      </c>
      <c r="H222" s="8" t="s">
        <v>1795</v>
      </c>
    </row>
    <row r="223" spans="1:8" x14ac:dyDescent="0.3">
      <c r="A223" s="4" t="s">
        <v>1852</v>
      </c>
      <c r="B223" s="5">
        <v>44893</v>
      </c>
      <c r="C223" s="6" t="s">
        <v>2367</v>
      </c>
      <c r="D223" s="6" t="s">
        <v>1643</v>
      </c>
      <c r="E223" s="6" t="s">
        <v>2503</v>
      </c>
      <c r="F223" s="6" t="s">
        <v>1208</v>
      </c>
      <c r="G223" s="7" t="str">
        <f>HYPERLINK("https://ovidsp.ovid.com/ovidweb.cgi?T=JS&amp;NEWS=n&amp;CSC=Y&amp;PAGE=booktext&amp;D=books&amp;SC=01434357&amp;EPUB=Y","https://ovidsp.ovid.com/ovidweb.cgi?T=JS&amp;NEWS=n&amp;CSC=Y&amp;PAGE=booktext&amp;D=books&amp;SC=01434357&amp;EPUB=Y")</f>
        <v>https://ovidsp.ovid.com/ovidweb.cgi?T=JS&amp;NEWS=n&amp;CSC=Y&amp;PAGE=booktext&amp;D=books&amp;SC=01434357&amp;EPUB=Y</v>
      </c>
      <c r="H223" s="8" t="s">
        <v>1795</v>
      </c>
    </row>
    <row r="224" spans="1:8" x14ac:dyDescent="0.3">
      <c r="A224" s="4" t="s">
        <v>2355</v>
      </c>
      <c r="B224" s="5">
        <v>44893</v>
      </c>
      <c r="C224" s="6" t="s">
        <v>914</v>
      </c>
      <c r="D224" s="6" t="s">
        <v>1528</v>
      </c>
      <c r="E224" s="6" t="s">
        <v>2503</v>
      </c>
      <c r="F224" s="6" t="s">
        <v>1208</v>
      </c>
      <c r="G224" s="7" t="str">
        <f>HYPERLINK("https://ovidsp.ovid.com/ovidweb.cgi?T=JS&amp;NEWS=n&amp;CSC=Y&amp;PAGE=booktext&amp;D=books&amp;SC=01436954&amp;EPUB=Y","https://ovidsp.ovid.com/ovidweb.cgi?T=JS&amp;NEWS=n&amp;CSC=Y&amp;PAGE=booktext&amp;D=books&amp;SC=01436954&amp;EPUB=Y")</f>
        <v>https://ovidsp.ovid.com/ovidweb.cgi?T=JS&amp;NEWS=n&amp;CSC=Y&amp;PAGE=booktext&amp;D=books&amp;SC=01436954&amp;EPUB=Y</v>
      </c>
      <c r="H224" s="8" t="s">
        <v>1795</v>
      </c>
    </row>
    <row r="225" spans="1:8" x14ac:dyDescent="0.3">
      <c r="A225" s="4" t="s">
        <v>1321</v>
      </c>
      <c r="B225" s="5">
        <v>44893</v>
      </c>
      <c r="C225" s="6" t="s">
        <v>336</v>
      </c>
      <c r="D225" s="6" t="s">
        <v>2509</v>
      </c>
      <c r="E225" s="6" t="s">
        <v>2503</v>
      </c>
      <c r="F225" s="6" t="s">
        <v>1208</v>
      </c>
      <c r="G225" s="7" t="str">
        <f>HYPERLINK("https://ovidsp.ovid.com/ovidweb.cgi?T=JS&amp;NEWS=n&amp;CSC=Y&amp;PAGE=booktext&amp;D=books&amp;SC=02102017&amp;EPUB=Y","https://ovidsp.ovid.com/ovidweb.cgi?T=JS&amp;NEWS=n&amp;CSC=Y&amp;PAGE=booktext&amp;D=books&amp;SC=02102017&amp;EPUB=Y")</f>
        <v>https://ovidsp.ovid.com/ovidweb.cgi?T=JS&amp;NEWS=n&amp;CSC=Y&amp;PAGE=booktext&amp;D=books&amp;SC=02102017&amp;EPUB=Y</v>
      </c>
      <c r="H225" s="8" t="s">
        <v>1795</v>
      </c>
    </row>
    <row r="226" spans="1:8" x14ac:dyDescent="0.3">
      <c r="A226" s="4" t="s">
        <v>1817</v>
      </c>
      <c r="B226" s="5">
        <v>44893</v>
      </c>
      <c r="C226" s="6" t="s">
        <v>274</v>
      </c>
      <c r="D226" s="6" t="s">
        <v>2393</v>
      </c>
      <c r="E226" s="6" t="s">
        <v>2503</v>
      </c>
      <c r="F226" s="6" t="s">
        <v>241</v>
      </c>
      <c r="G226" s="7" t="str">
        <f>HYPERLINK("https://ovidsp.ovid.com/ovidweb.cgi?T=JS&amp;NEWS=n&amp;CSC=Y&amp;PAGE=booktext&amp;D=books&amp;SC=02003492&amp;EPUB=Y","https://ovidsp.ovid.com/ovidweb.cgi?T=JS&amp;NEWS=n&amp;CSC=Y&amp;PAGE=booktext&amp;D=books&amp;SC=02003492&amp;EPUB=Y")</f>
        <v>https://ovidsp.ovid.com/ovidweb.cgi?T=JS&amp;NEWS=n&amp;CSC=Y&amp;PAGE=booktext&amp;D=books&amp;SC=02003492&amp;EPUB=Y</v>
      </c>
      <c r="H226" s="8" t="s">
        <v>1795</v>
      </c>
    </row>
    <row r="227" spans="1:8" x14ac:dyDescent="0.3">
      <c r="A227" s="4" t="s">
        <v>1817</v>
      </c>
      <c r="B227" s="5">
        <v>44893</v>
      </c>
      <c r="C227" s="6" t="s">
        <v>2304</v>
      </c>
      <c r="D227" s="6" t="s">
        <v>1638</v>
      </c>
      <c r="E227" s="6" t="s">
        <v>2503</v>
      </c>
      <c r="F227" s="6" t="s">
        <v>1208</v>
      </c>
      <c r="G227" s="7" t="str">
        <f>HYPERLINK("https://ovidsp.ovid.com/ovidweb.cgi?T=JS&amp;NEWS=n&amp;CSC=Y&amp;PAGE=booktext&amp;D=books&amp;SC=01434533&amp;EPUB=Y","https://ovidsp.ovid.com/ovidweb.cgi?T=JS&amp;NEWS=n&amp;CSC=Y&amp;PAGE=booktext&amp;D=books&amp;SC=01434533&amp;EPUB=Y")</f>
        <v>https://ovidsp.ovid.com/ovidweb.cgi?T=JS&amp;NEWS=n&amp;CSC=Y&amp;PAGE=booktext&amp;D=books&amp;SC=01434533&amp;EPUB=Y</v>
      </c>
      <c r="H227" s="8" t="s">
        <v>1795</v>
      </c>
    </row>
    <row r="228" spans="1:8" x14ac:dyDescent="0.3">
      <c r="A228" s="4" t="s">
        <v>1755</v>
      </c>
      <c r="B228" s="5">
        <v>44893</v>
      </c>
      <c r="C228" s="6" t="s">
        <v>684</v>
      </c>
      <c r="D228" s="6" t="s">
        <v>2050</v>
      </c>
      <c r="E228" s="6" t="s">
        <v>2503</v>
      </c>
      <c r="F228" s="6" t="s">
        <v>241</v>
      </c>
      <c r="G228" s="7" t="str">
        <f>HYPERLINK("https://ovidsp.ovid.com/ovidweb.cgi?T=JS&amp;NEWS=n&amp;CSC=Y&amp;PAGE=booktext&amp;D=books&amp;SC=02196445&amp;EPUB=Y","https://ovidsp.ovid.com/ovidweb.cgi?T=JS&amp;NEWS=n&amp;CSC=Y&amp;PAGE=booktext&amp;D=books&amp;SC=02196445&amp;EPUB=Y")</f>
        <v>https://ovidsp.ovid.com/ovidweb.cgi?T=JS&amp;NEWS=n&amp;CSC=Y&amp;PAGE=booktext&amp;D=books&amp;SC=02196445&amp;EPUB=Y</v>
      </c>
      <c r="H228" s="8" t="s">
        <v>1795</v>
      </c>
    </row>
    <row r="229" spans="1:8" x14ac:dyDescent="0.3">
      <c r="A229" s="4" t="s">
        <v>232</v>
      </c>
      <c r="B229" s="5">
        <v>44893</v>
      </c>
      <c r="C229" s="6" t="s">
        <v>2367</v>
      </c>
      <c r="D229" s="6" t="s">
        <v>1643</v>
      </c>
      <c r="E229" s="6" t="s">
        <v>2503</v>
      </c>
      <c r="F229" s="6" t="s">
        <v>1208</v>
      </c>
      <c r="G229" s="7" t="str">
        <f>HYPERLINK("https://ovidsp.ovid.com/ovidweb.cgi?T=JS&amp;NEWS=n&amp;CSC=Y&amp;PAGE=booktext&amp;D=books&amp;SC=01434287&amp;EPUB=Y","https://ovidsp.ovid.com/ovidweb.cgi?T=JS&amp;NEWS=n&amp;CSC=Y&amp;PAGE=booktext&amp;D=books&amp;SC=01434287&amp;EPUB=Y")</f>
        <v>https://ovidsp.ovid.com/ovidweb.cgi?T=JS&amp;NEWS=n&amp;CSC=Y&amp;PAGE=booktext&amp;D=books&amp;SC=01434287&amp;EPUB=Y</v>
      </c>
      <c r="H229" s="8" t="s">
        <v>1795</v>
      </c>
    </row>
    <row r="230" spans="1:8" x14ac:dyDescent="0.3">
      <c r="A230" s="4" t="s">
        <v>2058</v>
      </c>
      <c r="B230" s="5">
        <v>44893</v>
      </c>
      <c r="C230" s="6" t="s">
        <v>1786</v>
      </c>
      <c r="D230" s="6" t="s">
        <v>718</v>
      </c>
      <c r="E230" s="6" t="s">
        <v>2503</v>
      </c>
      <c r="F230" s="6" t="s">
        <v>1208</v>
      </c>
      <c r="G230" s="7" t="str">
        <f>HYPERLINK("https://ovidsp.ovid.com/ovidweb.cgi?T=JS&amp;NEWS=n&amp;CSC=Y&amp;PAGE=booktext&amp;D=books&amp;SC=01731091&amp;EPUB=Y","https://ovidsp.ovid.com/ovidweb.cgi?T=JS&amp;NEWS=n&amp;CSC=Y&amp;PAGE=booktext&amp;D=books&amp;SC=01731091&amp;EPUB=Y")</f>
        <v>https://ovidsp.ovid.com/ovidweb.cgi?T=JS&amp;NEWS=n&amp;CSC=Y&amp;PAGE=booktext&amp;D=books&amp;SC=01731091&amp;EPUB=Y</v>
      </c>
      <c r="H230" s="8" t="s">
        <v>1795</v>
      </c>
    </row>
    <row r="231" spans="1:8" x14ac:dyDescent="0.3">
      <c r="A231" s="4" t="s">
        <v>1375</v>
      </c>
      <c r="B231" s="5">
        <v>44893</v>
      </c>
      <c r="C231" s="6" t="s">
        <v>1383</v>
      </c>
      <c r="D231" s="6" t="s">
        <v>554</v>
      </c>
      <c r="E231" s="6" t="s">
        <v>2503</v>
      </c>
      <c r="F231" s="6" t="s">
        <v>1208</v>
      </c>
      <c r="G231" s="7" t="str">
        <f>HYPERLINK("https://ovidsp.ovid.com/ovidweb.cgi?T=JS&amp;NEWS=n&amp;CSC=Y&amp;PAGE=booktext&amp;D=books&amp;SC=01437473&amp;EPUB=Y","https://ovidsp.ovid.com/ovidweb.cgi?T=JS&amp;NEWS=n&amp;CSC=Y&amp;PAGE=booktext&amp;D=books&amp;SC=01437473&amp;EPUB=Y")</f>
        <v>https://ovidsp.ovid.com/ovidweb.cgi?T=JS&amp;NEWS=n&amp;CSC=Y&amp;PAGE=booktext&amp;D=books&amp;SC=01437473&amp;EPUB=Y</v>
      </c>
      <c r="H231" s="8" t="s">
        <v>1795</v>
      </c>
    </row>
    <row r="232" spans="1:8" x14ac:dyDescent="0.3">
      <c r="A232" s="4" t="s">
        <v>99</v>
      </c>
      <c r="B232" s="5">
        <v>44893</v>
      </c>
      <c r="C232" s="6" t="s">
        <v>717</v>
      </c>
      <c r="D232" s="6" t="s">
        <v>2017</v>
      </c>
      <c r="E232" s="6" t="s">
        <v>2503</v>
      </c>
      <c r="F232" s="6" t="s">
        <v>1208</v>
      </c>
      <c r="G232" s="7" t="str">
        <f>HYPERLINK("https://ovidsp.ovid.com/ovidweb.cgi?T=JS&amp;NEWS=n&amp;CSC=Y&amp;PAGE=booktext&amp;D=books&amp;SC=02260702&amp;EPUB=Y","https://ovidsp.ovid.com/ovidweb.cgi?T=JS&amp;NEWS=n&amp;CSC=Y&amp;PAGE=booktext&amp;D=books&amp;SC=02260702&amp;EPUB=Y")</f>
        <v>https://ovidsp.ovid.com/ovidweb.cgi?T=JS&amp;NEWS=n&amp;CSC=Y&amp;PAGE=booktext&amp;D=books&amp;SC=02260702&amp;EPUB=Y</v>
      </c>
      <c r="H232" s="8" t="s">
        <v>1795</v>
      </c>
    </row>
    <row r="233" spans="1:8" x14ac:dyDescent="0.3">
      <c r="A233" s="4" t="s">
        <v>716</v>
      </c>
      <c r="B233" s="5">
        <v>44893</v>
      </c>
      <c r="C233" s="6" t="s">
        <v>2367</v>
      </c>
      <c r="D233" s="6" t="s">
        <v>1643</v>
      </c>
      <c r="E233" s="6" t="s">
        <v>2503</v>
      </c>
      <c r="F233" s="6" t="s">
        <v>1208</v>
      </c>
      <c r="G233" s="7" t="str">
        <f>HYPERLINK("https://ovidsp.ovid.com/ovidweb.cgi?T=JS&amp;NEWS=n&amp;CSC=Y&amp;PAGE=booktext&amp;D=books&amp;SC=01434430&amp;EPUB=Y","https://ovidsp.ovid.com/ovidweb.cgi?T=JS&amp;NEWS=n&amp;CSC=Y&amp;PAGE=booktext&amp;D=books&amp;SC=01434430&amp;EPUB=Y")</f>
        <v>https://ovidsp.ovid.com/ovidweb.cgi?T=JS&amp;NEWS=n&amp;CSC=Y&amp;PAGE=booktext&amp;D=books&amp;SC=01434430&amp;EPUB=Y</v>
      </c>
      <c r="H233" s="8" t="s">
        <v>1795</v>
      </c>
    </row>
    <row r="234" spans="1:8" x14ac:dyDescent="0.3">
      <c r="A234" s="4" t="s">
        <v>2275</v>
      </c>
      <c r="B234" s="5">
        <v>44893</v>
      </c>
      <c r="C234" s="6" t="s">
        <v>1280</v>
      </c>
      <c r="D234" s="6" t="s">
        <v>1126</v>
      </c>
      <c r="E234" s="6" t="s">
        <v>2503</v>
      </c>
      <c r="F234" s="6" t="s">
        <v>1208</v>
      </c>
      <c r="G234" s="7" t="str">
        <f>HYPERLINK("https://ovidsp.ovid.com/ovidweb.cgi?T=JS&amp;NEWS=n&amp;CSC=Y&amp;PAGE=booktext&amp;D=books&amp;SC=02081099&amp;EPUB=Y","https://ovidsp.ovid.com/ovidweb.cgi?T=JS&amp;NEWS=n&amp;CSC=Y&amp;PAGE=booktext&amp;D=books&amp;SC=02081099&amp;EPUB=Y")</f>
        <v>https://ovidsp.ovid.com/ovidweb.cgi?T=JS&amp;NEWS=n&amp;CSC=Y&amp;PAGE=booktext&amp;D=books&amp;SC=02081099&amp;EPUB=Y</v>
      </c>
      <c r="H234" s="8" t="s">
        <v>1795</v>
      </c>
    </row>
    <row r="235" spans="1:8" x14ac:dyDescent="0.3">
      <c r="A235" s="4" t="s">
        <v>2515</v>
      </c>
      <c r="B235" s="5">
        <v>44893</v>
      </c>
      <c r="C235" s="6" t="s">
        <v>2127</v>
      </c>
      <c r="D235" s="6" t="s">
        <v>1570</v>
      </c>
      <c r="E235" s="6" t="s">
        <v>2503</v>
      </c>
      <c r="F235" s="6" t="s">
        <v>1208</v>
      </c>
      <c r="G235" s="7" t="str">
        <f>HYPERLINK("https://ovidsp.ovid.com/ovidweb.cgi?T=JS&amp;NEWS=n&amp;CSC=Y&amp;PAGE=booktext&amp;D=books&amp;SC=01434611&amp;EPUB=Y","https://ovidsp.ovid.com/ovidweb.cgi?T=JS&amp;NEWS=n&amp;CSC=Y&amp;PAGE=booktext&amp;D=books&amp;SC=01434611&amp;EPUB=Y")</f>
        <v>https://ovidsp.ovid.com/ovidweb.cgi?T=JS&amp;NEWS=n&amp;CSC=Y&amp;PAGE=booktext&amp;D=books&amp;SC=01434611&amp;EPUB=Y</v>
      </c>
      <c r="H235" s="8" t="s">
        <v>1795</v>
      </c>
    </row>
    <row r="236" spans="1:8" x14ac:dyDescent="0.3">
      <c r="A236" s="4" t="s">
        <v>1994</v>
      </c>
      <c r="B236" s="5">
        <v>44893</v>
      </c>
      <c r="C236" s="6" t="s">
        <v>41</v>
      </c>
      <c r="D236" s="6" t="s">
        <v>90</v>
      </c>
      <c r="E236" s="6" t="s">
        <v>2503</v>
      </c>
      <c r="F236" s="6" t="s">
        <v>1208</v>
      </c>
      <c r="G236" s="7" t="str">
        <f>HYPERLINK("https://ovidsp.ovid.com/ovidweb.cgi?T=JS&amp;NEWS=n&amp;CSC=Y&amp;PAGE=booktext&amp;D=books&amp;SC=01714661&amp;EPUB=Y","https://ovidsp.ovid.com/ovidweb.cgi?T=JS&amp;NEWS=n&amp;CSC=Y&amp;PAGE=booktext&amp;D=books&amp;SC=01714661&amp;EPUB=Y")</f>
        <v>https://ovidsp.ovid.com/ovidweb.cgi?T=JS&amp;NEWS=n&amp;CSC=Y&amp;PAGE=booktext&amp;D=books&amp;SC=01714661&amp;EPUB=Y</v>
      </c>
      <c r="H236" s="8" t="s">
        <v>1795</v>
      </c>
    </row>
    <row r="237" spans="1:8" x14ac:dyDescent="0.3">
      <c r="A237" s="4" t="s">
        <v>352</v>
      </c>
      <c r="B237" s="5">
        <v>44893</v>
      </c>
      <c r="C237" s="6" t="s">
        <v>2367</v>
      </c>
      <c r="D237" s="6" t="s">
        <v>1643</v>
      </c>
      <c r="E237" s="6" t="s">
        <v>2503</v>
      </c>
      <c r="F237" s="6" t="s">
        <v>1208</v>
      </c>
      <c r="G237" s="7" t="str">
        <f>HYPERLINK("https://ovidsp.ovid.com/ovidweb.cgi?T=JS&amp;NEWS=n&amp;CSC=Y&amp;PAGE=booktext&amp;D=books&amp;SC=01434438&amp;EPUB=Y","https://ovidsp.ovid.com/ovidweb.cgi?T=JS&amp;NEWS=n&amp;CSC=Y&amp;PAGE=booktext&amp;D=books&amp;SC=01434438&amp;EPUB=Y")</f>
        <v>https://ovidsp.ovid.com/ovidweb.cgi?T=JS&amp;NEWS=n&amp;CSC=Y&amp;PAGE=booktext&amp;D=books&amp;SC=01434438&amp;EPUB=Y</v>
      </c>
      <c r="H237" s="8" t="s">
        <v>1795</v>
      </c>
    </row>
    <row r="238" spans="1:8" x14ac:dyDescent="0.3">
      <c r="A238" s="4" t="s">
        <v>1505</v>
      </c>
      <c r="B238" s="5">
        <v>44893</v>
      </c>
      <c r="C238" s="6" t="s">
        <v>2250</v>
      </c>
      <c r="D238" s="6" t="s">
        <v>2008</v>
      </c>
      <c r="E238" s="6" t="s">
        <v>2503</v>
      </c>
      <c r="F238" s="6" t="s">
        <v>1208</v>
      </c>
      <c r="G238" s="7" t="str">
        <f>HYPERLINK("https://ovidsp.ovid.com/ovidweb.cgi?T=JS&amp;NEWS=n&amp;CSC=Y&amp;PAGE=booktext&amp;D=books&amp;SC=02181738&amp;EPUB=Y","https://ovidsp.ovid.com/ovidweb.cgi?T=JS&amp;NEWS=n&amp;CSC=Y&amp;PAGE=booktext&amp;D=books&amp;SC=02181738&amp;EPUB=Y")</f>
        <v>https://ovidsp.ovid.com/ovidweb.cgi?T=JS&amp;NEWS=n&amp;CSC=Y&amp;PAGE=booktext&amp;D=books&amp;SC=02181738&amp;EPUB=Y</v>
      </c>
      <c r="H238" s="8" t="s">
        <v>1795</v>
      </c>
    </row>
    <row r="239" spans="1:8" x14ac:dyDescent="0.3">
      <c r="A239" s="4" t="s">
        <v>1849</v>
      </c>
      <c r="B239" s="5">
        <v>44893</v>
      </c>
      <c r="C239" s="6" t="s">
        <v>1261</v>
      </c>
      <c r="D239" s="6" t="s">
        <v>1357</v>
      </c>
      <c r="E239" s="6" t="s">
        <v>2503</v>
      </c>
      <c r="F239" s="6" t="s">
        <v>1208</v>
      </c>
      <c r="G239" s="7" t="str">
        <f>HYPERLINK("https://ovidsp.ovid.com/ovidweb.cgi?T=JS&amp;NEWS=n&amp;CSC=Y&amp;PAGE=booktext&amp;D=books&amp;SC=01607924&amp;EPUB=Y","https://ovidsp.ovid.com/ovidweb.cgi?T=JS&amp;NEWS=n&amp;CSC=Y&amp;PAGE=booktext&amp;D=books&amp;SC=01607924&amp;EPUB=Y")</f>
        <v>https://ovidsp.ovid.com/ovidweb.cgi?T=JS&amp;NEWS=n&amp;CSC=Y&amp;PAGE=booktext&amp;D=books&amp;SC=01607924&amp;EPUB=Y</v>
      </c>
      <c r="H239" s="8" t="s">
        <v>1795</v>
      </c>
    </row>
    <row r="240" spans="1:8" x14ac:dyDescent="0.3">
      <c r="A240" s="4" t="s">
        <v>2412</v>
      </c>
      <c r="B240" s="5">
        <v>44893</v>
      </c>
      <c r="C240" s="6" t="s">
        <v>1410</v>
      </c>
      <c r="D240" s="6" t="s">
        <v>2037</v>
      </c>
      <c r="E240" s="6" t="s">
        <v>2503</v>
      </c>
      <c r="F240" s="6" t="s">
        <v>1208</v>
      </c>
      <c r="G240" s="7" t="str">
        <f>HYPERLINK("https://ovidsp.ovid.com/ovidweb.cgi?T=JS&amp;NEWS=n&amp;CSC=Y&amp;PAGE=booktext&amp;D=books&amp;SC=01434600&amp;EPUB=Y","https://ovidsp.ovid.com/ovidweb.cgi?T=JS&amp;NEWS=n&amp;CSC=Y&amp;PAGE=booktext&amp;D=books&amp;SC=01434600&amp;EPUB=Y")</f>
        <v>https://ovidsp.ovid.com/ovidweb.cgi?T=JS&amp;NEWS=n&amp;CSC=Y&amp;PAGE=booktext&amp;D=books&amp;SC=01434600&amp;EPUB=Y</v>
      </c>
      <c r="H240" s="8" t="s">
        <v>1795</v>
      </c>
    </row>
    <row r="241" spans="1:8" x14ac:dyDescent="0.3">
      <c r="A241" s="4" t="s">
        <v>2439</v>
      </c>
      <c r="B241" s="5">
        <v>44893</v>
      </c>
      <c r="C241" s="6" t="s">
        <v>690</v>
      </c>
      <c r="D241" s="6" t="s">
        <v>2024</v>
      </c>
      <c r="E241" s="6" t="s">
        <v>2503</v>
      </c>
      <c r="F241" s="6" t="s">
        <v>1208</v>
      </c>
      <c r="G241" s="7" t="str">
        <f>HYPERLINK("https://ovidsp.ovid.com/ovidweb.cgi?T=JS&amp;NEWS=n&amp;CSC=Y&amp;PAGE=booktext&amp;D=books&amp;SC=02029596&amp;EPUB=Y","https://ovidsp.ovid.com/ovidweb.cgi?T=JS&amp;NEWS=n&amp;CSC=Y&amp;PAGE=booktext&amp;D=books&amp;SC=02029596&amp;EPUB=Y")</f>
        <v>https://ovidsp.ovid.com/ovidweb.cgi?T=JS&amp;NEWS=n&amp;CSC=Y&amp;PAGE=booktext&amp;D=books&amp;SC=02029596&amp;EPUB=Y</v>
      </c>
      <c r="H241" s="8" t="s">
        <v>1795</v>
      </c>
    </row>
    <row r="242" spans="1:8" x14ac:dyDescent="0.3">
      <c r="A242" s="4" t="s">
        <v>2386</v>
      </c>
      <c r="B242" s="5">
        <v>44893</v>
      </c>
      <c r="C242" s="6" t="s">
        <v>1361</v>
      </c>
      <c r="D242" s="6" t="s">
        <v>1246</v>
      </c>
      <c r="E242" s="6" t="s">
        <v>2503</v>
      </c>
      <c r="F242" s="6" t="s">
        <v>1208</v>
      </c>
      <c r="G242" s="7" t="str">
        <f>HYPERLINK("https://ovidsp.ovid.com/ovidweb.cgi?T=JS&amp;NEWS=n&amp;CSC=Y&amp;PAGE=booktext&amp;D=books&amp;SC=02091989&amp;EPUB=Y","https://ovidsp.ovid.com/ovidweb.cgi?T=JS&amp;NEWS=n&amp;CSC=Y&amp;PAGE=booktext&amp;D=books&amp;SC=02091989&amp;EPUB=Y")</f>
        <v>https://ovidsp.ovid.com/ovidweb.cgi?T=JS&amp;NEWS=n&amp;CSC=Y&amp;PAGE=booktext&amp;D=books&amp;SC=02091989&amp;EPUB=Y</v>
      </c>
      <c r="H242" s="8" t="s">
        <v>1795</v>
      </c>
    </row>
    <row r="243" spans="1:8" x14ac:dyDescent="0.3">
      <c r="A243" s="4" t="s">
        <v>1003</v>
      </c>
      <c r="B243" s="5">
        <v>44893</v>
      </c>
      <c r="C243" s="6" t="s">
        <v>63</v>
      </c>
      <c r="D243" s="6" t="s">
        <v>2575</v>
      </c>
      <c r="E243" s="6" t="s">
        <v>2503</v>
      </c>
      <c r="F243" s="6" t="s">
        <v>241</v>
      </c>
      <c r="G243" s="7" t="str">
        <f>HYPERLINK("https://ovidsp.ovid.com/ovidweb.cgi?T=JS&amp;NEWS=n&amp;CSC=Y&amp;PAGE=booktext&amp;D=books&amp;SC=01838260&amp;EPUB=Y","https://ovidsp.ovid.com/ovidweb.cgi?T=JS&amp;NEWS=n&amp;CSC=Y&amp;PAGE=booktext&amp;D=books&amp;SC=01838260&amp;EPUB=Y")</f>
        <v>https://ovidsp.ovid.com/ovidweb.cgi?T=JS&amp;NEWS=n&amp;CSC=Y&amp;PAGE=booktext&amp;D=books&amp;SC=01838260&amp;EPUB=Y</v>
      </c>
      <c r="H243" s="8" t="s">
        <v>1795</v>
      </c>
    </row>
    <row r="244" spans="1:8" x14ac:dyDescent="0.3">
      <c r="A244" s="4" t="s">
        <v>1503</v>
      </c>
      <c r="B244" s="5">
        <v>44893</v>
      </c>
      <c r="C244" s="6" t="s">
        <v>2367</v>
      </c>
      <c r="D244" s="6" t="s">
        <v>1643</v>
      </c>
      <c r="E244" s="6" t="s">
        <v>2503</v>
      </c>
      <c r="F244" s="6" t="s">
        <v>1208</v>
      </c>
      <c r="G244" s="7" t="str">
        <f>HYPERLINK("https://ovidsp.ovid.com/ovidweb.cgi?T=JS&amp;NEWS=n&amp;CSC=Y&amp;PAGE=booktext&amp;D=books&amp;SC=01434366&amp;EPUB=Y","https://ovidsp.ovid.com/ovidweb.cgi?T=JS&amp;NEWS=n&amp;CSC=Y&amp;PAGE=booktext&amp;D=books&amp;SC=01434366&amp;EPUB=Y")</f>
        <v>https://ovidsp.ovid.com/ovidweb.cgi?T=JS&amp;NEWS=n&amp;CSC=Y&amp;PAGE=booktext&amp;D=books&amp;SC=01434366&amp;EPUB=Y</v>
      </c>
      <c r="H244" s="8" t="s">
        <v>1795</v>
      </c>
    </row>
    <row r="245" spans="1:8" x14ac:dyDescent="0.3">
      <c r="A245" s="4" t="s">
        <v>202</v>
      </c>
      <c r="B245" s="5">
        <v>44893</v>
      </c>
      <c r="C245" s="6" t="s">
        <v>2367</v>
      </c>
      <c r="D245" s="6" t="s">
        <v>1643</v>
      </c>
      <c r="E245" s="6" t="s">
        <v>2503</v>
      </c>
      <c r="F245" s="6" t="s">
        <v>1208</v>
      </c>
      <c r="G245" s="7" t="str">
        <f>HYPERLINK("https://ovidsp.ovid.com/ovidweb.cgi?T=JS&amp;NEWS=n&amp;CSC=Y&amp;PAGE=booktext&amp;D=books&amp;SC=01434335&amp;EPUB=Y","https://ovidsp.ovid.com/ovidweb.cgi?T=JS&amp;NEWS=n&amp;CSC=Y&amp;PAGE=booktext&amp;D=books&amp;SC=01434335&amp;EPUB=Y")</f>
        <v>https://ovidsp.ovid.com/ovidweb.cgi?T=JS&amp;NEWS=n&amp;CSC=Y&amp;PAGE=booktext&amp;D=books&amp;SC=01434335&amp;EPUB=Y</v>
      </c>
      <c r="H245" s="8" t="s">
        <v>1795</v>
      </c>
    </row>
    <row r="246" spans="1:8" x14ac:dyDescent="0.3">
      <c r="A246" s="4" t="s">
        <v>1814</v>
      </c>
      <c r="B246" s="5">
        <v>44893</v>
      </c>
      <c r="C246" s="6" t="s">
        <v>2161</v>
      </c>
      <c r="D246" s="6" t="s">
        <v>2565</v>
      </c>
      <c r="E246" s="6" t="s">
        <v>2503</v>
      </c>
      <c r="F246" s="6" t="s">
        <v>1208</v>
      </c>
      <c r="G246" s="7" t="str">
        <f>HYPERLINK("https://ovidsp.ovid.com/ovidweb.cgi?T=JS&amp;NEWS=n&amp;CSC=Y&amp;PAGE=booktext&amp;D=books&amp;SC=01938898&amp;EPUB=Y","https://ovidsp.ovid.com/ovidweb.cgi?T=JS&amp;NEWS=n&amp;CSC=Y&amp;PAGE=booktext&amp;D=books&amp;SC=01938898&amp;EPUB=Y")</f>
        <v>https://ovidsp.ovid.com/ovidweb.cgi?T=JS&amp;NEWS=n&amp;CSC=Y&amp;PAGE=booktext&amp;D=books&amp;SC=01938898&amp;EPUB=Y</v>
      </c>
      <c r="H246" s="8" t="s">
        <v>1795</v>
      </c>
    </row>
    <row r="247" spans="1:8" x14ac:dyDescent="0.3">
      <c r="A247" s="4" t="s">
        <v>1201</v>
      </c>
      <c r="B247" s="5">
        <v>44893</v>
      </c>
      <c r="C247" s="6" t="s">
        <v>807</v>
      </c>
      <c r="D247" s="6" t="s">
        <v>2491</v>
      </c>
      <c r="E247" s="6" t="s">
        <v>2503</v>
      </c>
      <c r="F247" s="6" t="s">
        <v>1208</v>
      </c>
      <c r="G247" s="7" t="str">
        <f>HYPERLINK("https://ovidsp.ovid.com/ovidweb.cgi?T=JS&amp;NEWS=n&amp;CSC=Y&amp;PAGE=booktext&amp;D=books&amp;SC=01607898&amp;EPUB=Y","https://ovidsp.ovid.com/ovidweb.cgi?T=JS&amp;NEWS=n&amp;CSC=Y&amp;PAGE=booktext&amp;D=books&amp;SC=01607898&amp;EPUB=Y")</f>
        <v>https://ovidsp.ovid.com/ovidweb.cgi?T=JS&amp;NEWS=n&amp;CSC=Y&amp;PAGE=booktext&amp;D=books&amp;SC=01607898&amp;EPUB=Y</v>
      </c>
      <c r="H247" s="8" t="s">
        <v>1795</v>
      </c>
    </row>
    <row r="248" spans="1:8" x14ac:dyDescent="0.3">
      <c r="A248" s="4" t="s">
        <v>873</v>
      </c>
      <c r="B248" s="5">
        <v>44893</v>
      </c>
      <c r="C248" s="6" t="s">
        <v>1956</v>
      </c>
      <c r="D248" s="6" t="s">
        <v>572</v>
      </c>
      <c r="E248" s="6" t="s">
        <v>2503</v>
      </c>
      <c r="F248" s="6" t="s">
        <v>1208</v>
      </c>
      <c r="G248" s="7" t="str">
        <f>HYPERLINK("https://ovidsp.ovid.com/ovidweb.cgi?T=JS&amp;NEWS=n&amp;CSC=Y&amp;PAGE=booktext&amp;D=books&amp;SC=01434514&amp;EPUB=Y","https://ovidsp.ovid.com/ovidweb.cgi?T=JS&amp;NEWS=n&amp;CSC=Y&amp;PAGE=booktext&amp;D=books&amp;SC=01434514&amp;EPUB=Y")</f>
        <v>https://ovidsp.ovid.com/ovidweb.cgi?T=JS&amp;NEWS=n&amp;CSC=Y&amp;PAGE=booktext&amp;D=books&amp;SC=01434514&amp;EPUB=Y</v>
      </c>
      <c r="H248" s="8" t="s">
        <v>1795</v>
      </c>
    </row>
    <row r="249" spans="1:8" x14ac:dyDescent="0.3">
      <c r="A249" s="4" t="s">
        <v>2237</v>
      </c>
      <c r="B249" s="5">
        <v>44893</v>
      </c>
      <c r="C249" s="6" t="s">
        <v>1882</v>
      </c>
      <c r="D249" s="6" t="s">
        <v>2381</v>
      </c>
      <c r="E249" s="6" t="s">
        <v>2503</v>
      </c>
      <c r="F249" s="6" t="s">
        <v>1208</v>
      </c>
      <c r="G249" s="7" t="str">
        <f>HYPERLINK("https://ovidsp.ovid.com/ovidweb.cgi?T=JS&amp;NEWS=n&amp;CSC=Y&amp;PAGE=booktext&amp;D=books&amp;SC=01731090&amp;EPUB=Y","https://ovidsp.ovid.com/ovidweb.cgi?T=JS&amp;NEWS=n&amp;CSC=Y&amp;PAGE=booktext&amp;D=books&amp;SC=01731090&amp;EPUB=Y")</f>
        <v>https://ovidsp.ovid.com/ovidweb.cgi?T=JS&amp;NEWS=n&amp;CSC=Y&amp;PAGE=booktext&amp;D=books&amp;SC=01731090&amp;EPUB=Y</v>
      </c>
      <c r="H249" s="8" t="s">
        <v>1795</v>
      </c>
    </row>
    <row r="250" spans="1:8" x14ac:dyDescent="0.3">
      <c r="A250" s="4" t="s">
        <v>974</v>
      </c>
      <c r="B250" s="5">
        <v>44893</v>
      </c>
      <c r="C250" s="6" t="s">
        <v>1671</v>
      </c>
      <c r="D250" s="6" t="s">
        <v>1606</v>
      </c>
      <c r="E250" s="6" t="s">
        <v>2503</v>
      </c>
      <c r="F250" s="6" t="s">
        <v>1208</v>
      </c>
      <c r="G250" s="7" t="str">
        <f>HYPERLINK("https://ovidsp.ovid.com/ovidweb.cgi?T=JS&amp;NEWS=n&amp;CSC=Y&amp;PAGE=booktext&amp;D=books&amp;SC=01434523&amp;EPUB=Y","https://ovidsp.ovid.com/ovidweb.cgi?T=JS&amp;NEWS=n&amp;CSC=Y&amp;PAGE=booktext&amp;D=books&amp;SC=01434523&amp;EPUB=Y")</f>
        <v>https://ovidsp.ovid.com/ovidweb.cgi?T=JS&amp;NEWS=n&amp;CSC=Y&amp;PAGE=booktext&amp;D=books&amp;SC=01434523&amp;EPUB=Y</v>
      </c>
      <c r="H250" s="8" t="s">
        <v>1795</v>
      </c>
    </row>
    <row r="251" spans="1:8" x14ac:dyDescent="0.3">
      <c r="A251" s="4" t="s">
        <v>279</v>
      </c>
      <c r="B251" s="5">
        <v>44893</v>
      </c>
      <c r="C251" s="6" t="s">
        <v>612</v>
      </c>
      <c r="D251" s="6" t="s">
        <v>948</v>
      </c>
      <c r="E251" s="6" t="s">
        <v>2503</v>
      </c>
      <c r="F251" s="6" t="s">
        <v>1208</v>
      </c>
      <c r="G251" s="7" t="str">
        <f>HYPERLINK("https://ovidsp.ovid.com/ovidweb.cgi?T=JS&amp;NEWS=n&amp;CSC=Y&amp;PAGE=booktext&amp;D=books&amp;SC=02272475&amp;EPUB=Y","https://ovidsp.ovid.com/ovidweb.cgi?T=JS&amp;NEWS=n&amp;CSC=Y&amp;PAGE=booktext&amp;D=books&amp;SC=02272475&amp;EPUB=Y")</f>
        <v>https://ovidsp.ovid.com/ovidweb.cgi?T=JS&amp;NEWS=n&amp;CSC=Y&amp;PAGE=booktext&amp;D=books&amp;SC=02272475&amp;EPUB=Y</v>
      </c>
      <c r="H251" s="8" t="s">
        <v>1795</v>
      </c>
    </row>
    <row r="252" spans="1:8" x14ac:dyDescent="0.3">
      <c r="A252" s="4" t="s">
        <v>43</v>
      </c>
      <c r="B252" s="5">
        <v>44893</v>
      </c>
      <c r="C252" s="6" t="s">
        <v>2045</v>
      </c>
      <c r="D252" s="6" t="s">
        <v>122</v>
      </c>
      <c r="E252" s="6" t="s">
        <v>2503</v>
      </c>
      <c r="F252" s="6" t="s">
        <v>1208</v>
      </c>
      <c r="G252" s="7" t="str">
        <f>HYPERLINK("https://ovidsp.ovid.com/ovidweb.cgi?T=JS&amp;NEWS=n&amp;CSC=Y&amp;PAGE=booktext&amp;D=books&amp;SC=01434566&amp;EPUB=Y","https://ovidsp.ovid.com/ovidweb.cgi?T=JS&amp;NEWS=n&amp;CSC=Y&amp;PAGE=booktext&amp;D=books&amp;SC=01434566&amp;EPUB=Y")</f>
        <v>https://ovidsp.ovid.com/ovidweb.cgi?T=JS&amp;NEWS=n&amp;CSC=Y&amp;PAGE=booktext&amp;D=books&amp;SC=01434566&amp;EPUB=Y</v>
      </c>
      <c r="H252" s="8" t="s">
        <v>1795</v>
      </c>
    </row>
    <row r="253" spans="1:8" x14ac:dyDescent="0.3">
      <c r="A253" s="4" t="s">
        <v>436</v>
      </c>
      <c r="B253" s="5">
        <v>44893</v>
      </c>
      <c r="C253" s="6" t="s">
        <v>2540</v>
      </c>
      <c r="D253" s="6" t="s">
        <v>1399</v>
      </c>
      <c r="E253" s="6" t="s">
        <v>2503</v>
      </c>
      <c r="F253" s="6" t="s">
        <v>1208</v>
      </c>
      <c r="G253" s="7" t="str">
        <f>HYPERLINK("https://ovidsp.ovid.com/ovidweb.cgi?T=JS&amp;NEWS=n&amp;CSC=Y&amp;PAGE=booktext&amp;D=books&amp;SC=02163073&amp;EPUB=Y","https://ovidsp.ovid.com/ovidweb.cgi?T=JS&amp;NEWS=n&amp;CSC=Y&amp;PAGE=booktext&amp;D=books&amp;SC=02163073&amp;EPUB=Y")</f>
        <v>https://ovidsp.ovid.com/ovidweb.cgi?T=JS&amp;NEWS=n&amp;CSC=Y&amp;PAGE=booktext&amp;D=books&amp;SC=02163073&amp;EPUB=Y</v>
      </c>
      <c r="H253" s="8" t="s">
        <v>1795</v>
      </c>
    </row>
    <row r="254" spans="1:8" x14ac:dyDescent="0.3">
      <c r="A254" s="4" t="s">
        <v>668</v>
      </c>
      <c r="B254" s="5">
        <v>44893</v>
      </c>
      <c r="C254" s="6" t="s">
        <v>2367</v>
      </c>
      <c r="D254" s="6" t="s">
        <v>1643</v>
      </c>
      <c r="E254" s="6" t="s">
        <v>2503</v>
      </c>
      <c r="F254" s="6" t="s">
        <v>1208</v>
      </c>
      <c r="G254" s="7" t="str">
        <f>HYPERLINK("https://ovidsp.ovid.com/ovidweb.cgi?T=JS&amp;NEWS=n&amp;CSC=Y&amp;PAGE=booktext&amp;D=books&amp;SC=01434300&amp;EPUB=Y","https://ovidsp.ovid.com/ovidweb.cgi?T=JS&amp;NEWS=n&amp;CSC=Y&amp;PAGE=booktext&amp;D=books&amp;SC=01434300&amp;EPUB=Y")</f>
        <v>https://ovidsp.ovid.com/ovidweb.cgi?T=JS&amp;NEWS=n&amp;CSC=Y&amp;PAGE=booktext&amp;D=books&amp;SC=01434300&amp;EPUB=Y</v>
      </c>
      <c r="H254" s="8" t="s">
        <v>1795</v>
      </c>
    </row>
    <row r="255" spans="1:8" x14ac:dyDescent="0.3">
      <c r="A255" s="4" t="s">
        <v>594</v>
      </c>
      <c r="B255" s="5">
        <v>44893</v>
      </c>
      <c r="C255" s="6" t="s">
        <v>1128</v>
      </c>
      <c r="D255" s="6" t="s">
        <v>827</v>
      </c>
      <c r="E255" s="6" t="s">
        <v>2503</v>
      </c>
      <c r="F255" s="6" t="s">
        <v>1208</v>
      </c>
      <c r="G255" s="7" t="str">
        <f>HYPERLINK("https://ovidsp.ovid.com/ovidweb.cgi?T=JS&amp;NEWS=n&amp;CSC=Y&amp;PAGE=booktext&amp;D=books&amp;SC=02081103&amp;EPUB=Y","https://ovidsp.ovid.com/ovidweb.cgi?T=JS&amp;NEWS=n&amp;CSC=Y&amp;PAGE=booktext&amp;D=books&amp;SC=02081103&amp;EPUB=Y")</f>
        <v>https://ovidsp.ovid.com/ovidweb.cgi?T=JS&amp;NEWS=n&amp;CSC=Y&amp;PAGE=booktext&amp;D=books&amp;SC=02081103&amp;EPUB=Y</v>
      </c>
      <c r="H255" s="8" t="s">
        <v>1795</v>
      </c>
    </row>
    <row r="256" spans="1:8" x14ac:dyDescent="0.3">
      <c r="A256" s="4" t="s">
        <v>2526</v>
      </c>
      <c r="B256" s="5">
        <v>44893</v>
      </c>
      <c r="C256" s="6" t="s">
        <v>982</v>
      </c>
      <c r="D256" s="6" t="s">
        <v>2065</v>
      </c>
      <c r="E256" s="6" t="s">
        <v>2503</v>
      </c>
      <c r="F256" s="6" t="s">
        <v>1208</v>
      </c>
      <c r="G256" s="7" t="str">
        <f>HYPERLINK("https://ovidsp.ovid.com/ovidweb.cgi?T=JS&amp;NEWS=n&amp;CSC=Y&amp;PAGE=booktext&amp;D=books&amp;SC=01807314&amp;EPUB=Y","https://ovidsp.ovid.com/ovidweb.cgi?T=JS&amp;NEWS=n&amp;CSC=Y&amp;PAGE=booktext&amp;D=books&amp;SC=01807314&amp;EPUB=Y")</f>
        <v>https://ovidsp.ovid.com/ovidweb.cgi?T=JS&amp;NEWS=n&amp;CSC=Y&amp;PAGE=booktext&amp;D=books&amp;SC=01807314&amp;EPUB=Y</v>
      </c>
      <c r="H256" s="8" t="s">
        <v>1795</v>
      </c>
    </row>
    <row r="257" spans="1:8" x14ac:dyDescent="0.3">
      <c r="A257" s="4" t="s">
        <v>988</v>
      </c>
      <c r="B257" s="5">
        <v>44893</v>
      </c>
      <c r="C257" s="6" t="s">
        <v>2348</v>
      </c>
      <c r="D257" s="6" t="s">
        <v>754</v>
      </c>
      <c r="E257" s="6" t="s">
        <v>2503</v>
      </c>
      <c r="F257" s="6" t="s">
        <v>1208</v>
      </c>
      <c r="G257" s="7" t="str">
        <f>HYPERLINK("https://ovidsp.ovid.com/ovidweb.cgi?T=JS&amp;NEWS=n&amp;CSC=Y&amp;PAGE=booktext&amp;D=books&amp;SC=01439431&amp;EPUB=Y","https://ovidsp.ovid.com/ovidweb.cgi?T=JS&amp;NEWS=n&amp;CSC=Y&amp;PAGE=booktext&amp;D=books&amp;SC=01439431&amp;EPUB=Y")</f>
        <v>https://ovidsp.ovid.com/ovidweb.cgi?T=JS&amp;NEWS=n&amp;CSC=Y&amp;PAGE=booktext&amp;D=books&amp;SC=01439431&amp;EPUB=Y</v>
      </c>
      <c r="H257" s="8" t="s">
        <v>1795</v>
      </c>
    </row>
    <row r="258" spans="1:8" x14ac:dyDescent="0.3">
      <c r="A258" s="4" t="s">
        <v>2158</v>
      </c>
      <c r="B258" s="5">
        <v>44893</v>
      </c>
      <c r="C258" s="6" t="s">
        <v>2092</v>
      </c>
      <c r="D258" s="6" t="s">
        <v>550</v>
      </c>
      <c r="E258" s="6" t="s">
        <v>2503</v>
      </c>
      <c r="F258" s="6" t="s">
        <v>1208</v>
      </c>
      <c r="G258" s="7" t="str">
        <f>HYPERLINK("https://ovidsp.ovid.com/ovidweb.cgi?T=JS&amp;NEWS=n&amp;CSC=Y&amp;PAGE=booktext&amp;D=books&amp;SC=01768415&amp;EPUB=Y","https://ovidsp.ovid.com/ovidweb.cgi?T=JS&amp;NEWS=n&amp;CSC=Y&amp;PAGE=booktext&amp;D=books&amp;SC=01768415&amp;EPUB=Y")</f>
        <v>https://ovidsp.ovid.com/ovidweb.cgi?T=JS&amp;NEWS=n&amp;CSC=Y&amp;PAGE=booktext&amp;D=books&amp;SC=01768415&amp;EPUB=Y</v>
      </c>
      <c r="H258" s="8" t="s">
        <v>1795</v>
      </c>
    </row>
    <row r="259" spans="1:8" x14ac:dyDescent="0.3">
      <c r="A259" s="4" t="s">
        <v>1999</v>
      </c>
      <c r="B259" s="5">
        <v>44893</v>
      </c>
      <c r="C259" s="6" t="s">
        <v>2353</v>
      </c>
      <c r="D259" s="6" t="s">
        <v>1797</v>
      </c>
      <c r="E259" s="6" t="s">
        <v>2503</v>
      </c>
      <c r="F259" s="6" t="s">
        <v>1208</v>
      </c>
      <c r="G259" s="7" t="str">
        <f>HYPERLINK("https://ovidsp.ovid.com/ovidweb.cgi?T=JS&amp;NEWS=n&amp;CSC=Y&amp;PAGE=booktext&amp;D=books&amp;SC=02148825&amp;EPUB=Y","https://ovidsp.ovid.com/ovidweb.cgi?T=JS&amp;NEWS=n&amp;CSC=Y&amp;PAGE=booktext&amp;D=books&amp;SC=02148825&amp;EPUB=Y")</f>
        <v>https://ovidsp.ovid.com/ovidweb.cgi?T=JS&amp;NEWS=n&amp;CSC=Y&amp;PAGE=booktext&amp;D=books&amp;SC=02148825&amp;EPUB=Y</v>
      </c>
      <c r="H259" s="8" t="s">
        <v>1795</v>
      </c>
    </row>
    <row r="260" spans="1:8" x14ac:dyDescent="0.3">
      <c r="A260" s="4" t="s">
        <v>428</v>
      </c>
      <c r="B260" s="5">
        <v>44893</v>
      </c>
      <c r="C260" s="6" t="s">
        <v>839</v>
      </c>
      <c r="D260" s="6" t="s">
        <v>1538</v>
      </c>
      <c r="E260" s="6" t="s">
        <v>2503</v>
      </c>
      <c r="F260" s="6" t="s">
        <v>1208</v>
      </c>
      <c r="G260" s="7" t="str">
        <f>HYPERLINK("https://ovidsp.ovid.com/ovidweb.cgi?T=JS&amp;NEWS=n&amp;CSC=Y&amp;PAGE=booktext&amp;D=books&amp;SC=01647996&amp;EPUB=Y","https://ovidsp.ovid.com/ovidweb.cgi?T=JS&amp;NEWS=n&amp;CSC=Y&amp;PAGE=booktext&amp;D=books&amp;SC=01647996&amp;EPUB=Y")</f>
        <v>https://ovidsp.ovid.com/ovidweb.cgi?T=JS&amp;NEWS=n&amp;CSC=Y&amp;PAGE=booktext&amp;D=books&amp;SC=01647996&amp;EPUB=Y</v>
      </c>
      <c r="H260" s="8" t="s">
        <v>1795</v>
      </c>
    </row>
    <row r="261" spans="1:8" x14ac:dyDescent="0.3">
      <c r="A261" s="4" t="s">
        <v>37</v>
      </c>
      <c r="B261" s="5">
        <v>44893</v>
      </c>
      <c r="C261" s="6" t="s">
        <v>277</v>
      </c>
      <c r="D261" s="6" t="s">
        <v>686</v>
      </c>
      <c r="E261" s="6" t="s">
        <v>2503</v>
      </c>
      <c r="F261" s="6" t="s">
        <v>1208</v>
      </c>
      <c r="G261" s="7" t="str">
        <f>HYPERLINK("https://ovidsp.ovid.com/ovidweb.cgi?T=JS&amp;NEWS=n&amp;CSC=Y&amp;PAGE=booktext&amp;D=books&amp;SC=01929403&amp;EPUB=Y","https://ovidsp.ovid.com/ovidweb.cgi?T=JS&amp;NEWS=n&amp;CSC=Y&amp;PAGE=booktext&amp;D=books&amp;SC=01929403&amp;EPUB=Y")</f>
        <v>https://ovidsp.ovid.com/ovidweb.cgi?T=JS&amp;NEWS=n&amp;CSC=Y&amp;PAGE=booktext&amp;D=books&amp;SC=01929403&amp;EPUB=Y</v>
      </c>
      <c r="H261" s="8" t="s">
        <v>1795</v>
      </c>
    </row>
    <row r="262" spans="1:8" x14ac:dyDescent="0.3">
      <c r="A262" s="4" t="s">
        <v>491</v>
      </c>
      <c r="B262" s="5">
        <v>44893</v>
      </c>
      <c r="C262" s="6" t="s">
        <v>1069</v>
      </c>
      <c r="D262" s="6" t="s">
        <v>167</v>
      </c>
      <c r="E262" s="6" t="s">
        <v>2503</v>
      </c>
      <c r="F262" s="6" t="s">
        <v>241</v>
      </c>
      <c r="G262" s="7" t="str">
        <f>HYPERLINK("https://ovidsp.ovid.com/ovidweb.cgi?T=JS&amp;NEWS=n&amp;CSC=Y&amp;PAGE=booktext&amp;D=books&amp;SC=01833048&amp;EPUB=Y","https://ovidsp.ovid.com/ovidweb.cgi?T=JS&amp;NEWS=n&amp;CSC=Y&amp;PAGE=booktext&amp;D=books&amp;SC=01833048&amp;EPUB=Y")</f>
        <v>https://ovidsp.ovid.com/ovidweb.cgi?T=JS&amp;NEWS=n&amp;CSC=Y&amp;PAGE=booktext&amp;D=books&amp;SC=01833048&amp;EPUB=Y</v>
      </c>
      <c r="H262" s="8" t="s">
        <v>1795</v>
      </c>
    </row>
    <row r="263" spans="1:8" x14ac:dyDescent="0.3">
      <c r="A263" s="4" t="s">
        <v>491</v>
      </c>
      <c r="B263" s="5">
        <v>44893</v>
      </c>
      <c r="C263" s="6" t="s">
        <v>2367</v>
      </c>
      <c r="D263" s="6" t="s">
        <v>1643</v>
      </c>
      <c r="E263" s="6" t="s">
        <v>2503</v>
      </c>
      <c r="F263" s="6" t="s">
        <v>1208</v>
      </c>
      <c r="G263" s="7" t="str">
        <f>HYPERLINK("https://ovidsp.ovid.com/ovidweb.cgi?T=JS&amp;NEWS=n&amp;CSC=Y&amp;PAGE=booktext&amp;D=books&amp;SC=01434374&amp;EPUB=Y","https://ovidsp.ovid.com/ovidweb.cgi?T=JS&amp;NEWS=n&amp;CSC=Y&amp;PAGE=booktext&amp;D=books&amp;SC=01434374&amp;EPUB=Y")</f>
        <v>https://ovidsp.ovid.com/ovidweb.cgi?T=JS&amp;NEWS=n&amp;CSC=Y&amp;PAGE=booktext&amp;D=books&amp;SC=01434374&amp;EPUB=Y</v>
      </c>
      <c r="H263" s="8" t="s">
        <v>1795</v>
      </c>
    </row>
    <row r="264" spans="1:8" x14ac:dyDescent="0.3">
      <c r="A264" s="4" t="s">
        <v>1674</v>
      </c>
      <c r="B264" s="5">
        <v>44893</v>
      </c>
      <c r="C264" s="6" t="s">
        <v>2367</v>
      </c>
      <c r="D264" s="6" t="s">
        <v>1643</v>
      </c>
      <c r="E264" s="6" t="s">
        <v>2503</v>
      </c>
      <c r="F264" s="6" t="s">
        <v>1208</v>
      </c>
      <c r="G264" s="7" t="str">
        <f>HYPERLINK("https://ovidsp.ovid.com/ovidweb.cgi?T=JS&amp;NEWS=n&amp;CSC=Y&amp;PAGE=booktext&amp;D=books&amp;SC=01434419&amp;EPUB=Y","https://ovidsp.ovid.com/ovidweb.cgi?T=JS&amp;NEWS=n&amp;CSC=Y&amp;PAGE=booktext&amp;D=books&amp;SC=01434419&amp;EPUB=Y")</f>
        <v>https://ovidsp.ovid.com/ovidweb.cgi?T=JS&amp;NEWS=n&amp;CSC=Y&amp;PAGE=booktext&amp;D=books&amp;SC=01434419&amp;EPUB=Y</v>
      </c>
      <c r="H264" s="8" t="s">
        <v>1795</v>
      </c>
    </row>
    <row r="265" spans="1:8" x14ac:dyDescent="0.3">
      <c r="A265" s="4" t="s">
        <v>2527</v>
      </c>
      <c r="B265" s="5">
        <v>44893</v>
      </c>
      <c r="C265" s="6" t="s">
        <v>1268</v>
      </c>
      <c r="D265" s="6" t="s">
        <v>826</v>
      </c>
      <c r="E265" s="6" t="s">
        <v>2503</v>
      </c>
      <c r="F265" s="6" t="s">
        <v>1208</v>
      </c>
      <c r="G265" s="7" t="str">
        <f>HYPERLINK("https://ovidsp.ovid.com/ovidweb.cgi?T=JS&amp;NEWS=n&amp;CSC=Y&amp;PAGE=booktext&amp;D=books&amp;SC=01845219&amp;EPUB=Y","https://ovidsp.ovid.com/ovidweb.cgi?T=JS&amp;NEWS=n&amp;CSC=Y&amp;PAGE=booktext&amp;D=books&amp;SC=01845219&amp;EPUB=Y")</f>
        <v>https://ovidsp.ovid.com/ovidweb.cgi?T=JS&amp;NEWS=n&amp;CSC=Y&amp;PAGE=booktext&amp;D=books&amp;SC=01845219&amp;EPUB=Y</v>
      </c>
      <c r="H265" s="8" t="s">
        <v>1795</v>
      </c>
    </row>
    <row r="266" spans="1:8" x14ac:dyDescent="0.3">
      <c r="A266" s="4" t="s">
        <v>432</v>
      </c>
      <c r="B266" s="5">
        <v>44893</v>
      </c>
      <c r="C266" s="6" t="s">
        <v>1486</v>
      </c>
      <c r="D266" s="6" t="s">
        <v>1592</v>
      </c>
      <c r="E266" s="6" t="s">
        <v>2503</v>
      </c>
      <c r="F266" s="6" t="s">
        <v>241</v>
      </c>
      <c r="G266" s="7" t="str">
        <f>HYPERLINK("https://ovidsp.ovid.com/ovidweb.cgi?T=JS&amp;NEWS=n&amp;CSC=Y&amp;PAGE=booktext&amp;D=books&amp;SC=01720296&amp;EPUB=Y","https://ovidsp.ovid.com/ovidweb.cgi?T=JS&amp;NEWS=n&amp;CSC=Y&amp;PAGE=booktext&amp;D=books&amp;SC=01720296&amp;EPUB=Y")</f>
        <v>https://ovidsp.ovid.com/ovidweb.cgi?T=JS&amp;NEWS=n&amp;CSC=Y&amp;PAGE=booktext&amp;D=books&amp;SC=01720296&amp;EPUB=Y</v>
      </c>
      <c r="H266" s="8" t="s">
        <v>1795</v>
      </c>
    </row>
    <row r="267" spans="1:8" x14ac:dyDescent="0.3">
      <c r="A267" s="4" t="s">
        <v>432</v>
      </c>
      <c r="B267" s="5">
        <v>44893</v>
      </c>
      <c r="C267" s="6" t="s">
        <v>2367</v>
      </c>
      <c r="D267" s="6" t="s">
        <v>1643</v>
      </c>
      <c r="E267" s="6" t="s">
        <v>2503</v>
      </c>
      <c r="F267" s="6" t="s">
        <v>1208</v>
      </c>
      <c r="G267" s="7" t="str">
        <f>HYPERLINK("https://ovidsp.ovid.com/ovidweb.cgi?T=JS&amp;NEWS=n&amp;CSC=Y&amp;PAGE=booktext&amp;D=books&amp;SC=01434258&amp;EPUB=Y","https://ovidsp.ovid.com/ovidweb.cgi?T=JS&amp;NEWS=n&amp;CSC=Y&amp;PAGE=booktext&amp;D=books&amp;SC=01434258&amp;EPUB=Y")</f>
        <v>https://ovidsp.ovid.com/ovidweb.cgi?T=JS&amp;NEWS=n&amp;CSC=Y&amp;PAGE=booktext&amp;D=books&amp;SC=01434258&amp;EPUB=Y</v>
      </c>
      <c r="H267" s="8" t="s">
        <v>1795</v>
      </c>
    </row>
    <row r="268" spans="1:8" x14ac:dyDescent="0.3">
      <c r="A268" s="4" t="s">
        <v>1322</v>
      </c>
      <c r="B268" s="5">
        <v>44893</v>
      </c>
      <c r="C268" s="6" t="s">
        <v>1135</v>
      </c>
      <c r="D268" s="6" t="s">
        <v>604</v>
      </c>
      <c r="E268" s="6" t="s">
        <v>2503</v>
      </c>
      <c r="F268" s="6" t="s">
        <v>1701</v>
      </c>
      <c r="G268" s="7" t="str">
        <f>HYPERLINK("https://ovidsp.ovid.com/ovidweb.cgi?T=JS&amp;NEWS=n&amp;CSC=Y&amp;PAGE=booktext&amp;D=books&amp;SC=01990648&amp;EPUB=Y","https://ovidsp.ovid.com/ovidweb.cgi?T=JS&amp;NEWS=n&amp;CSC=Y&amp;PAGE=booktext&amp;D=books&amp;SC=01990648&amp;EPUB=Y")</f>
        <v>https://ovidsp.ovid.com/ovidweb.cgi?T=JS&amp;NEWS=n&amp;CSC=Y&amp;PAGE=booktext&amp;D=books&amp;SC=01990648&amp;EPUB=Y</v>
      </c>
      <c r="H268" s="8" t="s">
        <v>1795</v>
      </c>
    </row>
    <row r="269" spans="1:8" x14ac:dyDescent="0.3">
      <c r="A269" s="4" t="s">
        <v>1605</v>
      </c>
      <c r="B269" s="5">
        <v>44893</v>
      </c>
      <c r="C269" s="6" t="s">
        <v>1358</v>
      </c>
      <c r="D269" s="6" t="s">
        <v>175</v>
      </c>
      <c r="E269" s="6" t="s">
        <v>2503</v>
      </c>
      <c r="F269" s="6" t="s">
        <v>1208</v>
      </c>
      <c r="G269" s="7" t="str">
        <f>HYPERLINK("https://ovidsp.ovid.com/ovidweb.cgi?T=JS&amp;NEWS=n&amp;CSC=Y&amp;PAGE=booktext&amp;D=books&amp;SC=01434632&amp;EPUB=Y","https://ovidsp.ovid.com/ovidweb.cgi?T=JS&amp;NEWS=n&amp;CSC=Y&amp;PAGE=booktext&amp;D=books&amp;SC=01434632&amp;EPUB=Y")</f>
        <v>https://ovidsp.ovid.com/ovidweb.cgi?T=JS&amp;NEWS=n&amp;CSC=Y&amp;PAGE=booktext&amp;D=books&amp;SC=01434632&amp;EPUB=Y</v>
      </c>
      <c r="H269" s="8" t="s">
        <v>1795</v>
      </c>
    </row>
    <row r="270" spans="1:8" x14ac:dyDescent="0.3">
      <c r="A270" s="4" t="s">
        <v>601</v>
      </c>
      <c r="B270" s="5">
        <v>44893</v>
      </c>
      <c r="C270" s="6" t="s">
        <v>2367</v>
      </c>
      <c r="D270" s="6" t="s">
        <v>1643</v>
      </c>
      <c r="E270" s="6" t="s">
        <v>2503</v>
      </c>
      <c r="F270" s="6" t="s">
        <v>1208</v>
      </c>
      <c r="G270" s="7" t="str">
        <f>HYPERLINK("https://ovidsp.ovid.com/ovidweb.cgi?T=JS&amp;NEWS=n&amp;CSC=Y&amp;PAGE=booktext&amp;D=books&amp;SC=01434251&amp;EPUB=Y","https://ovidsp.ovid.com/ovidweb.cgi?T=JS&amp;NEWS=n&amp;CSC=Y&amp;PAGE=booktext&amp;D=books&amp;SC=01434251&amp;EPUB=Y")</f>
        <v>https://ovidsp.ovid.com/ovidweb.cgi?T=JS&amp;NEWS=n&amp;CSC=Y&amp;PAGE=booktext&amp;D=books&amp;SC=01434251&amp;EPUB=Y</v>
      </c>
      <c r="H270" s="8" t="s">
        <v>1795</v>
      </c>
    </row>
    <row r="271" spans="1:8" x14ac:dyDescent="0.3">
      <c r="A271" s="4" t="s">
        <v>1876</v>
      </c>
      <c r="B271" s="5">
        <v>44893</v>
      </c>
      <c r="C271" s="6" t="s">
        <v>2367</v>
      </c>
      <c r="D271" s="6" t="s">
        <v>1643</v>
      </c>
      <c r="E271" s="6" t="s">
        <v>2503</v>
      </c>
      <c r="F271" s="6" t="s">
        <v>1208</v>
      </c>
      <c r="G271" s="7" t="str">
        <f>HYPERLINK("https://ovidsp.ovid.com/ovidweb.cgi?T=JS&amp;NEWS=n&amp;CSC=Y&amp;PAGE=booktext&amp;D=books&amp;SC=01434326&amp;EPUB=Y","https://ovidsp.ovid.com/ovidweb.cgi?T=JS&amp;NEWS=n&amp;CSC=Y&amp;PAGE=booktext&amp;D=books&amp;SC=01434326&amp;EPUB=Y")</f>
        <v>https://ovidsp.ovid.com/ovidweb.cgi?T=JS&amp;NEWS=n&amp;CSC=Y&amp;PAGE=booktext&amp;D=books&amp;SC=01434326&amp;EPUB=Y</v>
      </c>
      <c r="H271" s="8" t="s">
        <v>1795</v>
      </c>
    </row>
    <row r="272" spans="1:8" x14ac:dyDescent="0.3">
      <c r="A272" s="4" t="s">
        <v>129</v>
      </c>
      <c r="B272" s="5">
        <v>44893</v>
      </c>
      <c r="C272" s="6" t="s">
        <v>592</v>
      </c>
      <c r="D272" s="6" t="s">
        <v>937</v>
      </c>
      <c r="E272" s="6" t="s">
        <v>2503</v>
      </c>
      <c r="F272" s="6" t="s">
        <v>1208</v>
      </c>
      <c r="G272" s="7" t="str">
        <f>HYPERLINK("https://ovidsp.ovid.com/ovidweb.cgi?T=JS&amp;NEWS=n&amp;CSC=Y&amp;PAGE=booktext&amp;D=books&amp;SC=02205918&amp;EPUB=Y","https://ovidsp.ovid.com/ovidweb.cgi?T=JS&amp;NEWS=n&amp;CSC=Y&amp;PAGE=booktext&amp;D=books&amp;SC=02205918&amp;EPUB=Y")</f>
        <v>https://ovidsp.ovid.com/ovidweb.cgi?T=JS&amp;NEWS=n&amp;CSC=Y&amp;PAGE=booktext&amp;D=books&amp;SC=02205918&amp;EPUB=Y</v>
      </c>
      <c r="H272" s="8" t="s">
        <v>1795</v>
      </c>
    </row>
    <row r="273" spans="1:8" x14ac:dyDescent="0.3">
      <c r="A273" s="4" t="s">
        <v>663</v>
      </c>
      <c r="B273" s="5">
        <v>44893</v>
      </c>
      <c r="C273" s="6" t="s">
        <v>2126</v>
      </c>
      <c r="D273" s="6" t="s">
        <v>1799</v>
      </c>
      <c r="E273" s="6" t="s">
        <v>2503</v>
      </c>
      <c r="F273" s="6" t="s">
        <v>1208</v>
      </c>
      <c r="G273" s="7" t="str">
        <f>HYPERLINK("https://ovidsp.ovid.com/ovidweb.cgi?T=JS&amp;NEWS=n&amp;CSC=Y&amp;PAGE=booktext&amp;D=books&amp;SC=01434637&amp;EPUB=Y","https://ovidsp.ovid.com/ovidweb.cgi?T=JS&amp;NEWS=n&amp;CSC=Y&amp;PAGE=booktext&amp;D=books&amp;SC=01434637&amp;EPUB=Y")</f>
        <v>https://ovidsp.ovid.com/ovidweb.cgi?T=JS&amp;NEWS=n&amp;CSC=Y&amp;PAGE=booktext&amp;D=books&amp;SC=01434637&amp;EPUB=Y</v>
      </c>
      <c r="H273" s="8" t="s">
        <v>1795</v>
      </c>
    </row>
    <row r="274" spans="1:8" x14ac:dyDescent="0.3">
      <c r="A274" s="4" t="s">
        <v>1632</v>
      </c>
      <c r="B274" s="5">
        <v>44893</v>
      </c>
      <c r="C274" s="6" t="s">
        <v>76</v>
      </c>
      <c r="D274" s="6" t="s">
        <v>153</v>
      </c>
      <c r="E274" s="6" t="s">
        <v>2503</v>
      </c>
      <c r="F274" s="6" t="s">
        <v>1208</v>
      </c>
      <c r="G274" s="7" t="str">
        <f>HYPERLINK("https://ovidsp.ovid.com/ovidweb.cgi?T=JS&amp;NEWS=n&amp;CSC=Y&amp;PAGE=booktext&amp;D=books&amp;SC=02223344&amp;EPUB=Y","https://ovidsp.ovid.com/ovidweb.cgi?T=JS&amp;NEWS=n&amp;CSC=Y&amp;PAGE=booktext&amp;D=books&amp;SC=02223344&amp;EPUB=Y")</f>
        <v>https://ovidsp.ovid.com/ovidweb.cgi?T=JS&amp;NEWS=n&amp;CSC=Y&amp;PAGE=booktext&amp;D=books&amp;SC=02223344&amp;EPUB=Y</v>
      </c>
      <c r="H274" s="8" t="s">
        <v>1795</v>
      </c>
    </row>
    <row r="275" spans="1:8" x14ac:dyDescent="0.3">
      <c r="A275" s="4" t="s">
        <v>1177</v>
      </c>
      <c r="B275" s="5">
        <v>44893</v>
      </c>
      <c r="C275" s="6" t="s">
        <v>1482</v>
      </c>
      <c r="D275" s="6" t="s">
        <v>174</v>
      </c>
      <c r="E275" s="6" t="s">
        <v>2503</v>
      </c>
      <c r="F275" s="6" t="s">
        <v>1208</v>
      </c>
      <c r="G275" s="7" t="str">
        <f>HYPERLINK("https://ovidsp.ovid.com/ovidweb.cgi?T=JS&amp;NEWS=n&amp;CSC=Y&amp;PAGE=booktext&amp;D=books&amp;SC=02091936&amp;EPUB=Y","https://ovidsp.ovid.com/ovidweb.cgi?T=JS&amp;NEWS=n&amp;CSC=Y&amp;PAGE=booktext&amp;D=books&amp;SC=02091936&amp;EPUB=Y")</f>
        <v>https://ovidsp.ovid.com/ovidweb.cgi?T=JS&amp;NEWS=n&amp;CSC=Y&amp;PAGE=booktext&amp;D=books&amp;SC=02091936&amp;EPUB=Y</v>
      </c>
      <c r="H275" s="8" t="s">
        <v>1795</v>
      </c>
    </row>
    <row r="276" spans="1:8" x14ac:dyDescent="0.3">
      <c r="A276" s="4" t="s">
        <v>2594</v>
      </c>
      <c r="B276" s="5">
        <v>44893</v>
      </c>
      <c r="C276" s="6" t="s">
        <v>2367</v>
      </c>
      <c r="D276" s="6" t="s">
        <v>1643</v>
      </c>
      <c r="E276" s="6" t="s">
        <v>2503</v>
      </c>
      <c r="F276" s="6" t="s">
        <v>1208</v>
      </c>
      <c r="G276" s="7" t="str">
        <f>HYPERLINK("https://ovidsp.ovid.com/ovidweb.cgi?T=JS&amp;NEWS=n&amp;CSC=Y&amp;PAGE=booktext&amp;D=books&amp;SC=01434568&amp;EPUB=Y","https://ovidsp.ovid.com/ovidweb.cgi?T=JS&amp;NEWS=n&amp;CSC=Y&amp;PAGE=booktext&amp;D=books&amp;SC=01434568&amp;EPUB=Y")</f>
        <v>https://ovidsp.ovid.com/ovidweb.cgi?T=JS&amp;NEWS=n&amp;CSC=Y&amp;PAGE=booktext&amp;D=books&amp;SC=01434568&amp;EPUB=Y</v>
      </c>
      <c r="H276" s="8" t="s">
        <v>1795</v>
      </c>
    </row>
    <row r="277" spans="1:8" x14ac:dyDescent="0.3">
      <c r="A277" s="4" t="s">
        <v>672</v>
      </c>
      <c r="B277" s="5">
        <v>44893</v>
      </c>
      <c r="C277" s="6" t="s">
        <v>1180</v>
      </c>
      <c r="D277" s="6" t="s">
        <v>2213</v>
      </c>
      <c r="E277" s="6" t="s">
        <v>2503</v>
      </c>
      <c r="F277" s="6" t="s">
        <v>1208</v>
      </c>
      <c r="G277" s="7" t="str">
        <f>HYPERLINK("https://ovidsp.ovid.com/ovidweb.cgi?T=JS&amp;NEWS=n&amp;CSC=Y&amp;PAGE=booktext&amp;D=books&amp;SC=01434563&amp;EPUB=Y","https://ovidsp.ovid.com/ovidweb.cgi?T=JS&amp;NEWS=n&amp;CSC=Y&amp;PAGE=booktext&amp;D=books&amp;SC=01434563&amp;EPUB=Y")</f>
        <v>https://ovidsp.ovid.com/ovidweb.cgi?T=JS&amp;NEWS=n&amp;CSC=Y&amp;PAGE=booktext&amp;D=books&amp;SC=01434563&amp;EPUB=Y</v>
      </c>
      <c r="H277" s="8" t="s">
        <v>1795</v>
      </c>
    </row>
    <row r="278" spans="1:8" x14ac:dyDescent="0.3">
      <c r="A278" s="4" t="s">
        <v>53</v>
      </c>
      <c r="B278" s="5">
        <v>44893</v>
      </c>
      <c r="C278" s="6" t="s">
        <v>869</v>
      </c>
      <c r="D278" s="6" t="s">
        <v>2035</v>
      </c>
      <c r="E278" s="6" t="s">
        <v>2503</v>
      </c>
      <c r="F278" s="6" t="s">
        <v>619</v>
      </c>
      <c r="G278" s="7" t="str">
        <f>HYPERLINK("https://ovidsp.ovid.com/ovidweb.cgi?T=JS&amp;NEWS=n&amp;CSC=Y&amp;PAGE=booktext&amp;D=books&amp;SC=02148820&amp;EPUB=Y","https://ovidsp.ovid.com/ovidweb.cgi?T=JS&amp;NEWS=n&amp;CSC=Y&amp;PAGE=booktext&amp;D=books&amp;SC=02148820&amp;EPUB=Y")</f>
        <v>https://ovidsp.ovid.com/ovidweb.cgi?T=JS&amp;NEWS=n&amp;CSC=Y&amp;PAGE=booktext&amp;D=books&amp;SC=02148820&amp;EPUB=Y</v>
      </c>
      <c r="H278" s="8" t="s">
        <v>1795</v>
      </c>
    </row>
    <row r="279" spans="1:8" x14ac:dyDescent="0.3">
      <c r="A279" s="4" t="s">
        <v>53</v>
      </c>
      <c r="B279" s="5">
        <v>44893</v>
      </c>
      <c r="C279" s="6" t="s">
        <v>2367</v>
      </c>
      <c r="D279" s="6" t="s">
        <v>1643</v>
      </c>
      <c r="E279" s="6" t="s">
        <v>2503</v>
      </c>
      <c r="F279" s="6" t="s">
        <v>1208</v>
      </c>
      <c r="G279" s="7" t="str">
        <f>HYPERLINK("https://ovidsp.ovid.com/ovidweb.cgi?T=JS&amp;NEWS=n&amp;CSC=Y&amp;PAGE=booktext&amp;D=books&amp;SC=01434318&amp;EPUB=Y","https://ovidsp.ovid.com/ovidweb.cgi?T=JS&amp;NEWS=n&amp;CSC=Y&amp;PAGE=booktext&amp;D=books&amp;SC=01434318&amp;EPUB=Y")</f>
        <v>https://ovidsp.ovid.com/ovidweb.cgi?T=JS&amp;NEWS=n&amp;CSC=Y&amp;PAGE=booktext&amp;D=books&amp;SC=01434318&amp;EPUB=Y</v>
      </c>
      <c r="H279" s="8" t="s">
        <v>1795</v>
      </c>
    </row>
    <row r="280" spans="1:8" x14ac:dyDescent="0.3">
      <c r="A280" s="4" t="s">
        <v>53</v>
      </c>
      <c r="B280" s="5">
        <v>44893</v>
      </c>
      <c r="C280" s="6" t="s">
        <v>1589</v>
      </c>
      <c r="D280" s="6" t="s">
        <v>1550</v>
      </c>
      <c r="E280" s="6" t="s">
        <v>2503</v>
      </c>
      <c r="F280" s="6" t="s">
        <v>241</v>
      </c>
      <c r="G280" s="7" t="str">
        <f>HYPERLINK("https://ovidsp.ovid.com/ovidweb.cgi?T=JS&amp;NEWS=n&amp;CSC=Y&amp;PAGE=booktext&amp;D=books&amp;SC=01817261&amp;EPUB=Y","https://ovidsp.ovid.com/ovidweb.cgi?T=JS&amp;NEWS=n&amp;CSC=Y&amp;PAGE=booktext&amp;D=books&amp;SC=01817261&amp;EPUB=Y")</f>
        <v>https://ovidsp.ovid.com/ovidweb.cgi?T=JS&amp;NEWS=n&amp;CSC=Y&amp;PAGE=booktext&amp;D=books&amp;SC=01817261&amp;EPUB=Y</v>
      </c>
      <c r="H280" s="8" t="s">
        <v>1795</v>
      </c>
    </row>
    <row r="281" spans="1:8" x14ac:dyDescent="0.3">
      <c r="A281" s="4" t="s">
        <v>943</v>
      </c>
      <c r="B281" s="5">
        <v>44893</v>
      </c>
      <c r="C281" s="6" t="s">
        <v>2602</v>
      </c>
      <c r="D281" s="6" t="s">
        <v>1874</v>
      </c>
      <c r="E281" s="6" t="s">
        <v>2503</v>
      </c>
      <c r="F281" s="6" t="s">
        <v>1208</v>
      </c>
      <c r="G281" s="7" t="str">
        <f>HYPERLINK("https://ovidsp.ovid.com/ovidweb.cgi?T=JS&amp;NEWS=n&amp;CSC=Y&amp;PAGE=booktext&amp;D=books&amp;SC=02272330&amp;EPUB=Y","https://ovidsp.ovid.com/ovidweb.cgi?T=JS&amp;NEWS=n&amp;CSC=Y&amp;PAGE=booktext&amp;D=books&amp;SC=02272330&amp;EPUB=Y")</f>
        <v>https://ovidsp.ovid.com/ovidweb.cgi?T=JS&amp;NEWS=n&amp;CSC=Y&amp;PAGE=booktext&amp;D=books&amp;SC=02272330&amp;EPUB=Y</v>
      </c>
      <c r="H281" s="8" t="s">
        <v>1795</v>
      </c>
    </row>
    <row r="282" spans="1:8" x14ac:dyDescent="0.3">
      <c r="A282" s="4" t="s">
        <v>1050</v>
      </c>
      <c r="B282" s="5">
        <v>44893</v>
      </c>
      <c r="C282" s="6" t="s">
        <v>2367</v>
      </c>
      <c r="D282" s="6" t="s">
        <v>1643</v>
      </c>
      <c r="E282" s="6" t="s">
        <v>2503</v>
      </c>
      <c r="F282" s="6" t="s">
        <v>1208</v>
      </c>
      <c r="G282" s="7" t="str">
        <f>HYPERLINK("https://ovidsp.ovid.com/ovidweb.cgi?T=JS&amp;NEWS=n&amp;CSC=Y&amp;PAGE=booktext&amp;D=books&amp;SC=01434386&amp;EPUB=Y","https://ovidsp.ovid.com/ovidweb.cgi?T=JS&amp;NEWS=n&amp;CSC=Y&amp;PAGE=booktext&amp;D=books&amp;SC=01434386&amp;EPUB=Y")</f>
        <v>https://ovidsp.ovid.com/ovidweb.cgi?T=JS&amp;NEWS=n&amp;CSC=Y&amp;PAGE=booktext&amp;D=books&amp;SC=01434386&amp;EPUB=Y</v>
      </c>
      <c r="H282" s="8" t="s">
        <v>1795</v>
      </c>
    </row>
    <row r="283" spans="1:8" x14ac:dyDescent="0.3">
      <c r="A283" s="4" t="s">
        <v>673</v>
      </c>
      <c r="B283" s="5">
        <v>44893</v>
      </c>
      <c r="C283" s="6" t="s">
        <v>2367</v>
      </c>
      <c r="D283" s="6" t="s">
        <v>1643</v>
      </c>
      <c r="E283" s="6" t="s">
        <v>2503</v>
      </c>
      <c r="F283" s="6" t="s">
        <v>1208</v>
      </c>
      <c r="G283" s="7" t="str">
        <f>HYPERLINK("https://ovidsp.ovid.com/ovidweb.cgi?T=JS&amp;NEWS=n&amp;CSC=Y&amp;PAGE=booktext&amp;D=books&amp;SC=01434367&amp;EPUB=Y","https://ovidsp.ovid.com/ovidweb.cgi?T=JS&amp;NEWS=n&amp;CSC=Y&amp;PAGE=booktext&amp;D=books&amp;SC=01434367&amp;EPUB=Y")</f>
        <v>https://ovidsp.ovid.com/ovidweb.cgi?T=JS&amp;NEWS=n&amp;CSC=Y&amp;PAGE=booktext&amp;D=books&amp;SC=01434367&amp;EPUB=Y</v>
      </c>
      <c r="H283" s="8" t="s">
        <v>1795</v>
      </c>
    </row>
    <row r="284" spans="1:8" x14ac:dyDescent="0.3">
      <c r="A284" s="4" t="s">
        <v>1499</v>
      </c>
      <c r="B284" s="5">
        <v>44893</v>
      </c>
      <c r="C284" s="6" t="s">
        <v>713</v>
      </c>
      <c r="D284" s="6" t="s">
        <v>2301</v>
      </c>
      <c r="E284" s="6" t="s">
        <v>2503</v>
      </c>
      <c r="F284" s="6" t="s">
        <v>1208</v>
      </c>
      <c r="G284" s="7" t="str">
        <f>HYPERLINK("https://ovidsp.ovid.com/ovidweb.cgi?T=JS&amp;NEWS=n&amp;CSC=Y&amp;PAGE=booktext&amp;D=books&amp;SC=01434644&amp;EPUB=Y","https://ovidsp.ovid.com/ovidweb.cgi?T=JS&amp;NEWS=n&amp;CSC=Y&amp;PAGE=booktext&amp;D=books&amp;SC=01434644&amp;EPUB=Y")</f>
        <v>https://ovidsp.ovid.com/ovidweb.cgi?T=JS&amp;NEWS=n&amp;CSC=Y&amp;PAGE=booktext&amp;D=books&amp;SC=01434644&amp;EPUB=Y</v>
      </c>
      <c r="H284" s="8" t="s">
        <v>1795</v>
      </c>
    </row>
    <row r="285" spans="1:8" x14ac:dyDescent="0.3">
      <c r="A285" s="4" t="s">
        <v>2448</v>
      </c>
      <c r="B285" s="5">
        <v>44893</v>
      </c>
      <c r="C285" s="6" t="s">
        <v>330</v>
      </c>
      <c r="D285" s="6" t="s">
        <v>568</v>
      </c>
      <c r="E285" s="6" t="s">
        <v>2503</v>
      </c>
      <c r="F285" s="6" t="s">
        <v>1208</v>
      </c>
      <c r="G285" s="7" t="str">
        <f>HYPERLINK("https://ovidsp.ovid.com/ovidweb.cgi?T=JS&amp;NEWS=n&amp;CSC=Y&amp;PAGE=booktext&amp;D=books&amp;SC=02205968&amp;EPUB=Y","https://ovidsp.ovid.com/ovidweb.cgi?T=JS&amp;NEWS=n&amp;CSC=Y&amp;PAGE=booktext&amp;D=books&amp;SC=02205968&amp;EPUB=Y")</f>
        <v>https://ovidsp.ovid.com/ovidweb.cgi?T=JS&amp;NEWS=n&amp;CSC=Y&amp;PAGE=booktext&amp;D=books&amp;SC=02205968&amp;EPUB=Y</v>
      </c>
      <c r="H285" s="8" t="s">
        <v>1795</v>
      </c>
    </row>
    <row r="286" spans="1:8" x14ac:dyDescent="0.3">
      <c r="A286" s="4" t="s">
        <v>927</v>
      </c>
      <c r="B286" s="5">
        <v>44893</v>
      </c>
      <c r="C286" s="6" t="s">
        <v>353</v>
      </c>
      <c r="D286" s="6" t="s">
        <v>644</v>
      </c>
      <c r="E286" s="6" t="s">
        <v>2503</v>
      </c>
      <c r="F286" s="6" t="s">
        <v>1208</v>
      </c>
      <c r="G286" s="7" t="str">
        <f>HYPERLINK("https://ovidsp.ovid.com/ovidweb.cgi?T=JS&amp;NEWS=n&amp;CSC=Y&amp;PAGE=booktext&amp;D=books&amp;SC=02163064&amp;EPUB=Y","https://ovidsp.ovid.com/ovidweb.cgi?T=JS&amp;NEWS=n&amp;CSC=Y&amp;PAGE=booktext&amp;D=books&amp;SC=02163064&amp;EPUB=Y")</f>
        <v>https://ovidsp.ovid.com/ovidweb.cgi?T=JS&amp;NEWS=n&amp;CSC=Y&amp;PAGE=booktext&amp;D=books&amp;SC=02163064&amp;EPUB=Y</v>
      </c>
      <c r="H286" s="8" t="s">
        <v>1795</v>
      </c>
    </row>
    <row r="287" spans="1:8" x14ac:dyDescent="0.3">
      <c r="A287" s="4" t="s">
        <v>318</v>
      </c>
      <c r="B287" s="5">
        <v>44893</v>
      </c>
      <c r="C287" s="6" t="s">
        <v>1178</v>
      </c>
      <c r="D287" s="6" t="s">
        <v>700</v>
      </c>
      <c r="E287" s="6" t="s">
        <v>2503</v>
      </c>
      <c r="F287" s="6" t="s">
        <v>1208</v>
      </c>
      <c r="G287" s="7" t="str">
        <f>HYPERLINK("https://ovidsp.ovid.com/ovidweb.cgi?T=JS&amp;NEWS=n&amp;CSC=Y&amp;PAGE=booktext&amp;D=books&amp;SC=01434552&amp;EPUB=Y","https://ovidsp.ovid.com/ovidweb.cgi?T=JS&amp;NEWS=n&amp;CSC=Y&amp;PAGE=booktext&amp;D=books&amp;SC=01434552&amp;EPUB=Y")</f>
        <v>https://ovidsp.ovid.com/ovidweb.cgi?T=JS&amp;NEWS=n&amp;CSC=Y&amp;PAGE=booktext&amp;D=books&amp;SC=01434552&amp;EPUB=Y</v>
      </c>
      <c r="H287" s="8" t="s">
        <v>1795</v>
      </c>
    </row>
    <row r="288" spans="1:8" x14ac:dyDescent="0.3">
      <c r="A288" s="4" t="s">
        <v>1614</v>
      </c>
      <c r="B288" s="5">
        <v>44893</v>
      </c>
      <c r="C288" s="6" t="s">
        <v>860</v>
      </c>
      <c r="D288" s="6" t="s">
        <v>394</v>
      </c>
      <c r="E288" s="6" t="s">
        <v>2503</v>
      </c>
      <c r="F288" s="6" t="s">
        <v>1208</v>
      </c>
      <c r="G288" s="7" t="str">
        <f>HYPERLINK("https://ovidsp.ovid.com/ovidweb.cgi?T=JS&amp;NEWS=n&amp;CSC=Y&amp;PAGE=booktext&amp;D=books&amp;SC=01714657&amp;EPUB=Y","https://ovidsp.ovid.com/ovidweb.cgi?T=JS&amp;NEWS=n&amp;CSC=Y&amp;PAGE=booktext&amp;D=books&amp;SC=01714657&amp;EPUB=Y")</f>
        <v>https://ovidsp.ovid.com/ovidweb.cgi?T=JS&amp;NEWS=n&amp;CSC=Y&amp;PAGE=booktext&amp;D=books&amp;SC=01714657&amp;EPUB=Y</v>
      </c>
      <c r="H288" s="8" t="s">
        <v>1795</v>
      </c>
    </row>
    <row r="289" spans="1:8" x14ac:dyDescent="0.3">
      <c r="A289" s="4" t="s">
        <v>406</v>
      </c>
      <c r="B289" s="5">
        <v>44893</v>
      </c>
      <c r="C289" s="6" t="s">
        <v>616</v>
      </c>
      <c r="D289" s="6" t="s">
        <v>2447</v>
      </c>
      <c r="E289" s="6" t="s">
        <v>2503</v>
      </c>
      <c r="F289" s="6" t="s">
        <v>1208</v>
      </c>
      <c r="G289" s="7" t="str">
        <f>HYPERLINK("https://ovidsp.ovid.com/ovidweb.cgi?T=JS&amp;NEWS=n&amp;CSC=Y&amp;PAGE=booktext&amp;D=books&amp;SC=02148821&amp;EPUB=Y","https://ovidsp.ovid.com/ovidweb.cgi?T=JS&amp;NEWS=n&amp;CSC=Y&amp;PAGE=booktext&amp;D=books&amp;SC=02148821&amp;EPUB=Y")</f>
        <v>https://ovidsp.ovid.com/ovidweb.cgi?T=JS&amp;NEWS=n&amp;CSC=Y&amp;PAGE=booktext&amp;D=books&amp;SC=02148821&amp;EPUB=Y</v>
      </c>
      <c r="H289" s="8" t="s">
        <v>1795</v>
      </c>
    </row>
    <row r="290" spans="1:8" x14ac:dyDescent="0.3">
      <c r="A290" s="4" t="s">
        <v>140</v>
      </c>
      <c r="B290" s="5">
        <v>44893</v>
      </c>
      <c r="C290" s="6" t="s">
        <v>1580</v>
      </c>
      <c r="D290" s="6" t="s">
        <v>477</v>
      </c>
      <c r="E290" s="6" t="s">
        <v>2503</v>
      </c>
      <c r="F290" s="6" t="s">
        <v>1208</v>
      </c>
      <c r="G290" s="7" t="str">
        <f>HYPERLINK("https://ovidsp.ovid.com/ovidweb.cgi?T=JS&amp;NEWS=n&amp;CSC=Y&amp;PAGE=booktext&amp;D=books&amp;SC=01434646&amp;EPUB=Y","https://ovidsp.ovid.com/ovidweb.cgi?T=JS&amp;NEWS=n&amp;CSC=Y&amp;PAGE=booktext&amp;D=books&amp;SC=01434646&amp;EPUB=Y")</f>
        <v>https://ovidsp.ovid.com/ovidweb.cgi?T=JS&amp;NEWS=n&amp;CSC=Y&amp;PAGE=booktext&amp;D=books&amp;SC=01434646&amp;EPUB=Y</v>
      </c>
      <c r="H290" s="8" t="s">
        <v>1795</v>
      </c>
    </row>
    <row r="291" spans="1:8" x14ac:dyDescent="0.3">
      <c r="A291" s="4" t="s">
        <v>1656</v>
      </c>
      <c r="B291" s="5">
        <v>44893</v>
      </c>
      <c r="C291" s="6" t="s">
        <v>1149</v>
      </c>
      <c r="D291" s="6" t="s">
        <v>1574</v>
      </c>
      <c r="E291" s="6" t="s">
        <v>2503</v>
      </c>
      <c r="F291" s="6" t="s">
        <v>1208</v>
      </c>
      <c r="G291" s="7" t="str">
        <f>HYPERLINK("https://ovidsp.ovid.com/ovidweb.cgi?T=JS&amp;NEWS=n&amp;CSC=Y&amp;PAGE=booktext&amp;D=books&amp;SC=01434633&amp;EPUB=Y","https://ovidsp.ovid.com/ovidweb.cgi?T=JS&amp;NEWS=n&amp;CSC=Y&amp;PAGE=booktext&amp;D=books&amp;SC=01434633&amp;EPUB=Y")</f>
        <v>https://ovidsp.ovid.com/ovidweb.cgi?T=JS&amp;NEWS=n&amp;CSC=Y&amp;PAGE=booktext&amp;D=books&amp;SC=01434633&amp;EPUB=Y</v>
      </c>
      <c r="H291" s="8" t="s">
        <v>1795</v>
      </c>
    </row>
    <row r="292" spans="1:8" x14ac:dyDescent="0.3">
      <c r="A292" s="4" t="s">
        <v>1072</v>
      </c>
      <c r="B292" s="5">
        <v>44893</v>
      </c>
      <c r="C292" s="6" t="s">
        <v>2367</v>
      </c>
      <c r="D292" s="6" t="s">
        <v>1643</v>
      </c>
      <c r="E292" s="6" t="s">
        <v>2503</v>
      </c>
      <c r="F292" s="6" t="s">
        <v>1208</v>
      </c>
      <c r="G292" s="7" t="str">
        <f>HYPERLINK("https://ovidsp.ovid.com/ovidweb.cgi?T=JS&amp;NEWS=n&amp;CSC=Y&amp;PAGE=booktext&amp;D=books&amp;SC=01434524&amp;EPUB=Y","https://ovidsp.ovid.com/ovidweb.cgi?T=JS&amp;NEWS=n&amp;CSC=Y&amp;PAGE=booktext&amp;D=books&amp;SC=01434524&amp;EPUB=Y")</f>
        <v>https://ovidsp.ovid.com/ovidweb.cgi?T=JS&amp;NEWS=n&amp;CSC=Y&amp;PAGE=booktext&amp;D=books&amp;SC=01434524&amp;EPUB=Y</v>
      </c>
      <c r="H292" s="8" t="s">
        <v>1795</v>
      </c>
    </row>
    <row r="293" spans="1:8" x14ac:dyDescent="0.3">
      <c r="A293" s="4" t="s">
        <v>1909</v>
      </c>
      <c r="B293" s="5">
        <v>44893</v>
      </c>
      <c r="C293" s="6" t="s">
        <v>2367</v>
      </c>
      <c r="D293" s="6" t="s">
        <v>1643</v>
      </c>
      <c r="E293" s="6" t="s">
        <v>2503</v>
      </c>
      <c r="F293" s="6" t="s">
        <v>1208</v>
      </c>
      <c r="G293" s="7" t="str">
        <f>HYPERLINK("https://ovidsp.ovid.com/ovidweb.cgi?T=JS&amp;NEWS=n&amp;CSC=Y&amp;PAGE=booktext&amp;D=books&amp;SC=01434341&amp;EPUB=Y","https://ovidsp.ovid.com/ovidweb.cgi?T=JS&amp;NEWS=n&amp;CSC=Y&amp;PAGE=booktext&amp;D=books&amp;SC=01434341&amp;EPUB=Y")</f>
        <v>https://ovidsp.ovid.com/ovidweb.cgi?T=JS&amp;NEWS=n&amp;CSC=Y&amp;PAGE=booktext&amp;D=books&amp;SC=01434341&amp;EPUB=Y</v>
      </c>
      <c r="H293" s="8" t="s">
        <v>1795</v>
      </c>
    </row>
    <row r="294" spans="1:8" x14ac:dyDescent="0.3">
      <c r="A294" s="4" t="s">
        <v>2137</v>
      </c>
      <c r="B294" s="5">
        <v>44893</v>
      </c>
      <c r="C294" s="6" t="s">
        <v>2367</v>
      </c>
      <c r="D294" s="6" t="s">
        <v>1643</v>
      </c>
      <c r="E294" s="6" t="s">
        <v>2503</v>
      </c>
      <c r="F294" s="6" t="s">
        <v>1208</v>
      </c>
      <c r="G294" s="7" t="str">
        <f>HYPERLINK("https://ovidsp.ovid.com/ovidweb.cgi?T=JS&amp;NEWS=n&amp;CSC=Y&amp;PAGE=booktext&amp;D=books&amp;SC=01434324&amp;EPUB=Y","https://ovidsp.ovid.com/ovidweb.cgi?T=JS&amp;NEWS=n&amp;CSC=Y&amp;PAGE=booktext&amp;D=books&amp;SC=01434324&amp;EPUB=Y")</f>
        <v>https://ovidsp.ovid.com/ovidweb.cgi?T=JS&amp;NEWS=n&amp;CSC=Y&amp;PAGE=booktext&amp;D=books&amp;SC=01434324&amp;EPUB=Y</v>
      </c>
      <c r="H294" s="8" t="s">
        <v>1795</v>
      </c>
    </row>
    <row r="295" spans="1:8" x14ac:dyDescent="0.3">
      <c r="A295" s="4" t="s">
        <v>1706</v>
      </c>
      <c r="B295" s="5">
        <v>44893</v>
      </c>
      <c r="C295" s="6" t="s">
        <v>953</v>
      </c>
      <c r="D295" s="6" t="s">
        <v>766</v>
      </c>
      <c r="E295" s="6" t="s">
        <v>2503</v>
      </c>
      <c r="F295" s="6" t="s">
        <v>1208</v>
      </c>
      <c r="G295" s="7" t="str">
        <f>HYPERLINK("https://ovidsp.ovid.com/ovidweb.cgi?T=JS&amp;NEWS=n&amp;CSC=Y&amp;PAGE=booktext&amp;D=books&amp;SC=02227869&amp;EPUB=Y","https://ovidsp.ovid.com/ovidweb.cgi?T=JS&amp;NEWS=n&amp;CSC=Y&amp;PAGE=booktext&amp;D=books&amp;SC=02227869&amp;EPUB=Y")</f>
        <v>https://ovidsp.ovid.com/ovidweb.cgi?T=JS&amp;NEWS=n&amp;CSC=Y&amp;PAGE=booktext&amp;D=books&amp;SC=02227869&amp;EPUB=Y</v>
      </c>
      <c r="H295" s="8" t="s">
        <v>1795</v>
      </c>
    </row>
    <row r="296" spans="1:8" x14ac:dyDescent="0.3">
      <c r="A296" s="4" t="s">
        <v>1107</v>
      </c>
      <c r="B296" s="5">
        <v>44893</v>
      </c>
      <c r="C296" s="6" t="s">
        <v>1045</v>
      </c>
      <c r="D296" s="6" t="s">
        <v>2601</v>
      </c>
      <c r="E296" s="6" t="s">
        <v>2503</v>
      </c>
      <c r="F296" s="6" t="s">
        <v>1208</v>
      </c>
      <c r="G296" s="7" t="str">
        <f>HYPERLINK("https://ovidsp.ovid.com/ovidweb.cgi?T=JS&amp;NEWS=n&amp;CSC=Y&amp;PAGE=booktext&amp;D=books&amp;SC=02081100&amp;EPUB=Y","https://ovidsp.ovid.com/ovidweb.cgi?T=JS&amp;NEWS=n&amp;CSC=Y&amp;PAGE=booktext&amp;D=books&amp;SC=02081100&amp;EPUB=Y")</f>
        <v>https://ovidsp.ovid.com/ovidweb.cgi?T=JS&amp;NEWS=n&amp;CSC=Y&amp;PAGE=booktext&amp;D=books&amp;SC=02081100&amp;EPUB=Y</v>
      </c>
      <c r="H296" s="8" t="s">
        <v>1795</v>
      </c>
    </row>
    <row r="297" spans="1:8" x14ac:dyDescent="0.3">
      <c r="A297" s="4" t="s">
        <v>1911</v>
      </c>
      <c r="B297" s="5">
        <v>44893</v>
      </c>
      <c r="C297" s="6" t="s">
        <v>1145</v>
      </c>
      <c r="D297" s="6" t="s">
        <v>271</v>
      </c>
      <c r="E297" s="6" t="s">
        <v>2503</v>
      </c>
      <c r="F297" s="6" t="s">
        <v>1208</v>
      </c>
      <c r="G297" s="7" t="str">
        <f>HYPERLINK("https://ovidsp.ovid.com/ovidweb.cgi?T=JS&amp;NEWS=n&amp;CSC=Y&amp;PAGE=booktext&amp;D=books&amp;SC=02148824&amp;EPUB=Y","https://ovidsp.ovid.com/ovidweb.cgi?T=JS&amp;NEWS=n&amp;CSC=Y&amp;PAGE=booktext&amp;D=books&amp;SC=02148824&amp;EPUB=Y")</f>
        <v>https://ovidsp.ovid.com/ovidweb.cgi?T=JS&amp;NEWS=n&amp;CSC=Y&amp;PAGE=booktext&amp;D=books&amp;SC=02148824&amp;EPUB=Y</v>
      </c>
      <c r="H297" s="8" t="s">
        <v>1795</v>
      </c>
    </row>
    <row r="298" spans="1:8" x14ac:dyDescent="0.3">
      <c r="A298" s="4" t="s">
        <v>1055</v>
      </c>
      <c r="B298" s="5">
        <v>44893</v>
      </c>
      <c r="C298" s="6" t="s">
        <v>1888</v>
      </c>
      <c r="D298" s="6" t="s">
        <v>375</v>
      </c>
      <c r="E298" s="6" t="s">
        <v>2503</v>
      </c>
      <c r="F298" s="6" t="s">
        <v>1208</v>
      </c>
      <c r="G298" s="7" t="str">
        <f>HYPERLINK("https://ovidsp.ovid.com/ovidweb.cgi?T=JS&amp;NEWS=n&amp;CSC=Y&amp;PAGE=booktext&amp;D=books&amp;SC=02273508&amp;EPUB=Y","https://ovidsp.ovid.com/ovidweb.cgi?T=JS&amp;NEWS=n&amp;CSC=Y&amp;PAGE=booktext&amp;D=books&amp;SC=02273508&amp;EPUB=Y")</f>
        <v>https://ovidsp.ovid.com/ovidweb.cgi?T=JS&amp;NEWS=n&amp;CSC=Y&amp;PAGE=booktext&amp;D=books&amp;SC=02273508&amp;EPUB=Y</v>
      </c>
      <c r="H298" s="8" t="s">
        <v>1795</v>
      </c>
    </row>
    <row r="299" spans="1:8" x14ac:dyDescent="0.3">
      <c r="A299" s="4" t="s">
        <v>1450</v>
      </c>
      <c r="B299" s="5">
        <v>44893</v>
      </c>
      <c r="C299" s="6" t="s">
        <v>2367</v>
      </c>
      <c r="D299" s="6" t="s">
        <v>1643</v>
      </c>
      <c r="E299" s="6" t="s">
        <v>2503</v>
      </c>
      <c r="F299" s="6" t="s">
        <v>1208</v>
      </c>
      <c r="G299" s="7" t="str">
        <f>HYPERLINK("https://ovidsp.ovid.com/ovidweb.cgi?T=JS&amp;NEWS=n&amp;CSC=Y&amp;PAGE=booktext&amp;D=books&amp;SC=01434232&amp;EPUB=Y","https://ovidsp.ovid.com/ovidweb.cgi?T=JS&amp;NEWS=n&amp;CSC=Y&amp;PAGE=booktext&amp;D=books&amp;SC=01434232&amp;EPUB=Y")</f>
        <v>https://ovidsp.ovid.com/ovidweb.cgi?T=JS&amp;NEWS=n&amp;CSC=Y&amp;PAGE=booktext&amp;D=books&amp;SC=01434232&amp;EPUB=Y</v>
      </c>
      <c r="H299" s="8" t="s">
        <v>1795</v>
      </c>
    </row>
    <row r="300" spans="1:8" x14ac:dyDescent="0.3">
      <c r="A300" s="4" t="s">
        <v>1134</v>
      </c>
      <c r="B300" s="5">
        <v>44893</v>
      </c>
      <c r="C300" s="6" t="s">
        <v>855</v>
      </c>
      <c r="D300" s="6" t="s">
        <v>1870</v>
      </c>
      <c r="E300" s="6" t="s">
        <v>2503</v>
      </c>
      <c r="F300" s="6" t="s">
        <v>1208</v>
      </c>
      <c r="G300" s="7" t="str">
        <f>HYPERLINK("https://ovidsp.ovid.com/ovidweb.cgi?T=JS&amp;NEWS=n&amp;CSC=Y&amp;PAGE=booktext&amp;D=books&amp;SC=02008440&amp;EPUB=Y","https://ovidsp.ovid.com/ovidweb.cgi?T=JS&amp;NEWS=n&amp;CSC=Y&amp;PAGE=booktext&amp;D=books&amp;SC=02008440&amp;EPUB=Y")</f>
        <v>https://ovidsp.ovid.com/ovidweb.cgi?T=JS&amp;NEWS=n&amp;CSC=Y&amp;PAGE=booktext&amp;D=books&amp;SC=02008440&amp;EPUB=Y</v>
      </c>
      <c r="H300" s="8" t="s">
        <v>1795</v>
      </c>
    </row>
    <row r="301" spans="1:8" x14ac:dyDescent="0.3">
      <c r="A301" s="4" t="s">
        <v>2472</v>
      </c>
      <c r="B301" s="5">
        <v>44893</v>
      </c>
      <c r="C301" s="6" t="s">
        <v>2512</v>
      </c>
      <c r="D301" s="6" t="s">
        <v>181</v>
      </c>
      <c r="E301" s="6" t="s">
        <v>2503</v>
      </c>
      <c r="F301" s="6" t="s">
        <v>1208</v>
      </c>
      <c r="G301" s="7" t="str">
        <f>HYPERLINK("https://ovidsp.ovid.com/ovidweb.cgi?T=JS&amp;NEWS=n&amp;CSC=Y&amp;PAGE=booktext&amp;D=books&amp;SC=02163072&amp;EPUB=Y","https://ovidsp.ovid.com/ovidweb.cgi?T=JS&amp;NEWS=n&amp;CSC=Y&amp;PAGE=booktext&amp;D=books&amp;SC=02163072&amp;EPUB=Y")</f>
        <v>https://ovidsp.ovid.com/ovidweb.cgi?T=JS&amp;NEWS=n&amp;CSC=Y&amp;PAGE=booktext&amp;D=books&amp;SC=02163072&amp;EPUB=Y</v>
      </c>
      <c r="H301" s="8" t="s">
        <v>1795</v>
      </c>
    </row>
    <row r="302" spans="1:8" x14ac:dyDescent="0.3">
      <c r="A302" s="4" t="s">
        <v>2039</v>
      </c>
      <c r="B302" s="5">
        <v>44893</v>
      </c>
      <c r="C302" s="6" t="s">
        <v>2489</v>
      </c>
      <c r="D302" s="6" t="s">
        <v>2351</v>
      </c>
      <c r="E302" s="6" t="s">
        <v>2503</v>
      </c>
      <c r="F302" s="6" t="s">
        <v>1208</v>
      </c>
      <c r="G302" s="7" t="str">
        <f>HYPERLINK("https://ovidsp.ovid.com/ovidweb.cgi?T=JS&amp;NEWS=n&amp;CSC=Y&amp;PAGE=booktext&amp;D=books&amp;SC=01960904&amp;EPUB=Y","https://ovidsp.ovid.com/ovidweb.cgi?T=JS&amp;NEWS=n&amp;CSC=Y&amp;PAGE=booktext&amp;D=books&amp;SC=01960904&amp;EPUB=Y")</f>
        <v>https://ovidsp.ovid.com/ovidweb.cgi?T=JS&amp;NEWS=n&amp;CSC=Y&amp;PAGE=booktext&amp;D=books&amp;SC=01960904&amp;EPUB=Y</v>
      </c>
      <c r="H302" s="8" t="s">
        <v>1795</v>
      </c>
    </row>
    <row r="303" spans="1:8" x14ac:dyDescent="0.3">
      <c r="A303" s="4" t="s">
        <v>709</v>
      </c>
      <c r="B303" s="5">
        <v>44893</v>
      </c>
      <c r="C303" s="6" t="s">
        <v>2367</v>
      </c>
      <c r="D303" s="6" t="s">
        <v>1643</v>
      </c>
      <c r="E303" s="6" t="s">
        <v>2503</v>
      </c>
      <c r="F303" s="6" t="s">
        <v>1208</v>
      </c>
      <c r="G303" s="7" t="str">
        <f>HYPERLINK("https://ovidsp.ovid.com/ovidweb.cgi?T=JS&amp;NEWS=n&amp;CSC=Y&amp;PAGE=booktext&amp;D=books&amp;SC=01434301&amp;EPUB=Y","https://ovidsp.ovid.com/ovidweb.cgi?T=JS&amp;NEWS=n&amp;CSC=Y&amp;PAGE=booktext&amp;D=books&amp;SC=01434301&amp;EPUB=Y")</f>
        <v>https://ovidsp.ovid.com/ovidweb.cgi?T=JS&amp;NEWS=n&amp;CSC=Y&amp;PAGE=booktext&amp;D=books&amp;SC=01434301&amp;EPUB=Y</v>
      </c>
      <c r="H303" s="8" t="s">
        <v>1795</v>
      </c>
    </row>
    <row r="304" spans="1:8" x14ac:dyDescent="0.3">
      <c r="A304" s="4" t="s">
        <v>959</v>
      </c>
      <c r="B304" s="5">
        <v>44893</v>
      </c>
      <c r="C304" s="6" t="s">
        <v>2344</v>
      </c>
      <c r="D304" s="6" t="s">
        <v>2087</v>
      </c>
      <c r="E304" s="6" t="s">
        <v>2503</v>
      </c>
      <c r="F304" s="6" t="s">
        <v>1208</v>
      </c>
      <c r="G304" s="7" t="str">
        <f>HYPERLINK("https://ovidsp.ovid.com/ovidweb.cgi?T=JS&amp;NEWS=n&amp;CSC=Y&amp;PAGE=booktext&amp;D=books&amp;SC=01434530&amp;EPUB=Y","https://ovidsp.ovid.com/ovidweb.cgi?T=JS&amp;NEWS=n&amp;CSC=Y&amp;PAGE=booktext&amp;D=books&amp;SC=01434530&amp;EPUB=Y")</f>
        <v>https://ovidsp.ovid.com/ovidweb.cgi?T=JS&amp;NEWS=n&amp;CSC=Y&amp;PAGE=booktext&amp;D=books&amp;SC=01434530&amp;EPUB=Y</v>
      </c>
      <c r="H304" s="8" t="s">
        <v>1795</v>
      </c>
    </row>
    <row r="305" spans="1:8" x14ac:dyDescent="0.3">
      <c r="A305" s="4" t="s">
        <v>179</v>
      </c>
      <c r="B305" s="5">
        <v>44893</v>
      </c>
      <c r="C305" s="6" t="s">
        <v>2367</v>
      </c>
      <c r="D305" s="6" t="s">
        <v>1643</v>
      </c>
      <c r="E305" s="6" t="s">
        <v>2503</v>
      </c>
      <c r="F305" s="6" t="s">
        <v>1208</v>
      </c>
      <c r="G305" s="7" t="str">
        <f>HYPERLINK("https://ovidsp.ovid.com/ovidweb.cgi?T=JS&amp;NEWS=n&amp;CSC=Y&amp;PAGE=booktext&amp;D=books&amp;SC=01434354&amp;EPUB=Y","https://ovidsp.ovid.com/ovidweb.cgi?T=JS&amp;NEWS=n&amp;CSC=Y&amp;PAGE=booktext&amp;D=books&amp;SC=01434354&amp;EPUB=Y")</f>
        <v>https://ovidsp.ovid.com/ovidweb.cgi?T=JS&amp;NEWS=n&amp;CSC=Y&amp;PAGE=booktext&amp;D=books&amp;SC=01434354&amp;EPUB=Y</v>
      </c>
      <c r="H305" s="8" t="s">
        <v>1795</v>
      </c>
    </row>
    <row r="306" spans="1:8" x14ac:dyDescent="0.3">
      <c r="A306" s="4" t="s">
        <v>696</v>
      </c>
      <c r="B306" s="5">
        <v>44893</v>
      </c>
      <c r="C306" s="6" t="s">
        <v>1779</v>
      </c>
      <c r="D306" s="6" t="s">
        <v>585</v>
      </c>
      <c r="E306" s="6" t="s">
        <v>2503</v>
      </c>
      <c r="F306" s="6" t="s">
        <v>1208</v>
      </c>
      <c r="G306" s="7" t="str">
        <f>HYPERLINK("https://ovidsp.ovid.com/ovidweb.cgi?T=JS&amp;NEWS=n&amp;CSC=Y&amp;PAGE=booktext&amp;D=books&amp;SC=01434649&amp;EPUB=Y","https://ovidsp.ovid.com/ovidweb.cgi?T=JS&amp;NEWS=n&amp;CSC=Y&amp;PAGE=booktext&amp;D=books&amp;SC=01434649&amp;EPUB=Y")</f>
        <v>https://ovidsp.ovid.com/ovidweb.cgi?T=JS&amp;NEWS=n&amp;CSC=Y&amp;PAGE=booktext&amp;D=books&amp;SC=01434649&amp;EPUB=Y</v>
      </c>
      <c r="H306" s="8" t="s">
        <v>1795</v>
      </c>
    </row>
    <row r="307" spans="1:8" x14ac:dyDescent="0.3">
      <c r="A307" s="4" t="s">
        <v>306</v>
      </c>
      <c r="B307" s="5">
        <v>44893</v>
      </c>
      <c r="C307" s="6" t="s">
        <v>963</v>
      </c>
      <c r="D307" s="6" t="s">
        <v>184</v>
      </c>
      <c r="E307" s="6" t="s">
        <v>2503</v>
      </c>
      <c r="F307" s="6" t="s">
        <v>1208</v>
      </c>
      <c r="G307" s="7" t="str">
        <f>HYPERLINK("https://ovidsp.ovid.com/ovidweb.cgi?T=JS&amp;NEWS=n&amp;CSC=Y&amp;PAGE=booktext&amp;D=books&amp;SC=01434515&amp;EPUB=Y","https://ovidsp.ovid.com/ovidweb.cgi?T=JS&amp;NEWS=n&amp;CSC=Y&amp;PAGE=booktext&amp;D=books&amp;SC=01434515&amp;EPUB=Y")</f>
        <v>https://ovidsp.ovid.com/ovidweb.cgi?T=JS&amp;NEWS=n&amp;CSC=Y&amp;PAGE=booktext&amp;D=books&amp;SC=01434515&amp;EPUB=Y</v>
      </c>
      <c r="H307" s="8" t="s">
        <v>1795</v>
      </c>
    </row>
    <row r="308" spans="1:8" x14ac:dyDescent="0.3">
      <c r="A308" s="4" t="s">
        <v>1928</v>
      </c>
      <c r="B308" s="5">
        <v>44893</v>
      </c>
      <c r="C308" s="6" t="s">
        <v>2367</v>
      </c>
      <c r="D308" s="6" t="s">
        <v>1643</v>
      </c>
      <c r="E308" s="6" t="s">
        <v>2503</v>
      </c>
      <c r="F308" s="6" t="s">
        <v>1208</v>
      </c>
      <c r="G308" s="7" t="str">
        <f>HYPERLINK("https://ovidsp.ovid.com/ovidweb.cgi?T=JS&amp;NEWS=n&amp;CSC=Y&amp;PAGE=booktext&amp;D=books&amp;SC=01434434&amp;EPUB=Y","https://ovidsp.ovid.com/ovidweb.cgi?T=JS&amp;NEWS=n&amp;CSC=Y&amp;PAGE=booktext&amp;D=books&amp;SC=01434434&amp;EPUB=Y")</f>
        <v>https://ovidsp.ovid.com/ovidweb.cgi?T=JS&amp;NEWS=n&amp;CSC=Y&amp;PAGE=booktext&amp;D=books&amp;SC=01434434&amp;EPUB=Y</v>
      </c>
      <c r="H308" s="8" t="s">
        <v>1795</v>
      </c>
    </row>
    <row r="309" spans="1:8" x14ac:dyDescent="0.3">
      <c r="A309" s="4" t="s">
        <v>44</v>
      </c>
      <c r="B309" s="5">
        <v>44893</v>
      </c>
      <c r="C309" s="6" t="s">
        <v>1945</v>
      </c>
      <c r="D309" s="6" t="s">
        <v>1665</v>
      </c>
      <c r="E309" s="6" t="s">
        <v>2503</v>
      </c>
      <c r="F309" s="6" t="s">
        <v>1208</v>
      </c>
      <c r="G309" s="7" t="str">
        <f>HYPERLINK("https://ovidsp.ovid.com/ovidweb.cgi?T=JS&amp;NEWS=n&amp;CSC=Y&amp;PAGE=booktext&amp;D=books&amp;SC=01434639&amp;EPUB=Y","https://ovidsp.ovid.com/ovidweb.cgi?T=JS&amp;NEWS=n&amp;CSC=Y&amp;PAGE=booktext&amp;D=books&amp;SC=01434639&amp;EPUB=Y")</f>
        <v>https://ovidsp.ovid.com/ovidweb.cgi?T=JS&amp;NEWS=n&amp;CSC=Y&amp;PAGE=booktext&amp;D=books&amp;SC=01434639&amp;EPUB=Y</v>
      </c>
      <c r="H309" s="8" t="s">
        <v>1795</v>
      </c>
    </row>
    <row r="310" spans="1:8" x14ac:dyDescent="0.3">
      <c r="A310" s="4" t="s">
        <v>2112</v>
      </c>
      <c r="B310" s="5">
        <v>44893</v>
      </c>
      <c r="C310" s="6" t="s">
        <v>2367</v>
      </c>
      <c r="D310" s="6" t="s">
        <v>1643</v>
      </c>
      <c r="E310" s="6" t="s">
        <v>2503</v>
      </c>
      <c r="F310" s="6" t="s">
        <v>1208</v>
      </c>
      <c r="G310" s="7" t="str">
        <f>HYPERLINK("https://ovidsp.ovid.com/ovidweb.cgi?T=JS&amp;NEWS=n&amp;CSC=Y&amp;PAGE=booktext&amp;D=books&amp;SC=01434653&amp;EPUB=Y","https://ovidsp.ovid.com/ovidweb.cgi?T=JS&amp;NEWS=n&amp;CSC=Y&amp;PAGE=booktext&amp;D=books&amp;SC=01434653&amp;EPUB=Y")</f>
        <v>https://ovidsp.ovid.com/ovidweb.cgi?T=JS&amp;NEWS=n&amp;CSC=Y&amp;PAGE=booktext&amp;D=books&amp;SC=01434653&amp;EPUB=Y</v>
      </c>
      <c r="H310" s="8" t="s">
        <v>1795</v>
      </c>
    </row>
    <row r="311" spans="1:8" x14ac:dyDescent="0.3">
      <c r="A311" s="4" t="s">
        <v>868</v>
      </c>
      <c r="B311" s="5">
        <v>44893</v>
      </c>
      <c r="C311" s="6" t="s">
        <v>2367</v>
      </c>
      <c r="D311" s="6" t="s">
        <v>1643</v>
      </c>
      <c r="E311" s="6" t="s">
        <v>2503</v>
      </c>
      <c r="F311" s="6" t="s">
        <v>1208</v>
      </c>
      <c r="G311" s="7" t="str">
        <f>HYPERLINK("https://ovidsp.ovid.com/ovidweb.cgi?T=JS&amp;NEWS=n&amp;CSC=Y&amp;PAGE=booktext&amp;D=books&amp;SC=01434285&amp;EPUB=Y","https://ovidsp.ovid.com/ovidweb.cgi?T=JS&amp;NEWS=n&amp;CSC=Y&amp;PAGE=booktext&amp;D=books&amp;SC=01434285&amp;EPUB=Y")</f>
        <v>https://ovidsp.ovid.com/ovidweb.cgi?T=JS&amp;NEWS=n&amp;CSC=Y&amp;PAGE=booktext&amp;D=books&amp;SC=01434285&amp;EPUB=Y</v>
      </c>
      <c r="H311" s="8" t="s">
        <v>1795</v>
      </c>
    </row>
    <row r="312" spans="1:8" x14ac:dyDescent="0.3">
      <c r="A312" s="4" t="s">
        <v>2115</v>
      </c>
      <c r="B312" s="5">
        <v>44893</v>
      </c>
      <c r="C312" s="6" t="s">
        <v>1253</v>
      </c>
      <c r="D312" s="6" t="s">
        <v>1938</v>
      </c>
      <c r="E312" s="6" t="s">
        <v>2503</v>
      </c>
      <c r="F312" s="6" t="s">
        <v>619</v>
      </c>
      <c r="G312" s="7" t="str">
        <f>HYPERLINK("https://ovidsp.ovid.com/ovidweb.cgi?T=JS&amp;NEWS=n&amp;CSC=Y&amp;PAGE=booktext&amp;D=books&amp;SC=01434596&amp;EPUB=Y","https://ovidsp.ovid.com/ovidweb.cgi?T=JS&amp;NEWS=n&amp;CSC=Y&amp;PAGE=booktext&amp;D=books&amp;SC=01434596&amp;EPUB=Y")</f>
        <v>https://ovidsp.ovid.com/ovidweb.cgi?T=JS&amp;NEWS=n&amp;CSC=Y&amp;PAGE=booktext&amp;D=books&amp;SC=01434596&amp;EPUB=Y</v>
      </c>
      <c r="H312" s="8" t="s">
        <v>1795</v>
      </c>
    </row>
    <row r="313" spans="1:8" x14ac:dyDescent="0.3">
      <c r="A313" s="4" t="s">
        <v>2115</v>
      </c>
      <c r="B313" s="5">
        <v>44893</v>
      </c>
      <c r="C313" s="6" t="s">
        <v>1982</v>
      </c>
      <c r="D313" s="6" t="s">
        <v>830</v>
      </c>
      <c r="E313" s="6" t="s">
        <v>2503</v>
      </c>
      <c r="F313" s="6" t="s">
        <v>1208</v>
      </c>
      <c r="G313" s="7" t="str">
        <f>HYPERLINK("https://ovidsp.ovid.com/ovidweb.cgi?T=JS&amp;NEWS=n&amp;CSC=Y&amp;PAGE=booktext&amp;D=books&amp;SC=01434626&amp;EPUB=Y","https://ovidsp.ovid.com/ovidweb.cgi?T=JS&amp;NEWS=n&amp;CSC=Y&amp;PAGE=booktext&amp;D=books&amp;SC=01434626&amp;EPUB=Y")</f>
        <v>https://ovidsp.ovid.com/ovidweb.cgi?T=JS&amp;NEWS=n&amp;CSC=Y&amp;PAGE=booktext&amp;D=books&amp;SC=01434626&amp;EPUB=Y</v>
      </c>
      <c r="H313" s="8" t="s">
        <v>1795</v>
      </c>
    </row>
    <row r="314" spans="1:8" x14ac:dyDescent="0.3">
      <c r="A314" s="4" t="s">
        <v>1745</v>
      </c>
      <c r="B314" s="5">
        <v>44893</v>
      </c>
      <c r="C314" s="6" t="s">
        <v>2367</v>
      </c>
      <c r="D314" s="6" t="s">
        <v>1643</v>
      </c>
      <c r="E314" s="6" t="s">
        <v>2503</v>
      </c>
      <c r="F314" s="6" t="s">
        <v>1208</v>
      </c>
      <c r="G314" s="7" t="str">
        <f>HYPERLINK("https://ovidsp.ovid.com/ovidweb.cgi?T=JS&amp;NEWS=n&amp;CSC=Y&amp;PAGE=booktext&amp;D=books&amp;SC=01434435&amp;EPUB=Y","https://ovidsp.ovid.com/ovidweb.cgi?T=JS&amp;NEWS=n&amp;CSC=Y&amp;PAGE=booktext&amp;D=books&amp;SC=01434435&amp;EPUB=Y")</f>
        <v>https://ovidsp.ovid.com/ovidweb.cgi?T=JS&amp;NEWS=n&amp;CSC=Y&amp;PAGE=booktext&amp;D=books&amp;SC=01434435&amp;EPUB=Y</v>
      </c>
      <c r="H314" s="8" t="s">
        <v>1795</v>
      </c>
    </row>
    <row r="315" spans="1:8" x14ac:dyDescent="0.3">
      <c r="A315" s="4" t="s">
        <v>2334</v>
      </c>
      <c r="B315" s="5">
        <v>44893</v>
      </c>
      <c r="C315" s="6" t="s">
        <v>345</v>
      </c>
      <c r="D315" s="6" t="s">
        <v>93</v>
      </c>
      <c r="E315" s="6" t="s">
        <v>2503</v>
      </c>
      <c r="F315" s="6" t="s">
        <v>241</v>
      </c>
      <c r="G315" s="7" t="str">
        <f>HYPERLINK("https://ovidsp.ovid.com/ovidweb.cgi?T=JS&amp;NEWS=n&amp;CSC=Y&amp;PAGE=booktext&amp;D=books&amp;SC=01434534&amp;EPUB=Y","https://ovidsp.ovid.com/ovidweb.cgi?T=JS&amp;NEWS=n&amp;CSC=Y&amp;PAGE=booktext&amp;D=books&amp;SC=01434534&amp;EPUB=Y")</f>
        <v>https://ovidsp.ovid.com/ovidweb.cgi?T=JS&amp;NEWS=n&amp;CSC=Y&amp;PAGE=booktext&amp;D=books&amp;SC=01434534&amp;EPUB=Y</v>
      </c>
      <c r="H315" s="8" t="s">
        <v>1795</v>
      </c>
    </row>
    <row r="316" spans="1:8" x14ac:dyDescent="0.3">
      <c r="A316" s="4" t="s">
        <v>1389</v>
      </c>
      <c r="B316" s="5">
        <v>44893</v>
      </c>
      <c r="C316" s="6" t="s">
        <v>2367</v>
      </c>
      <c r="D316" s="6" t="s">
        <v>1643</v>
      </c>
      <c r="E316" s="6" t="s">
        <v>2503</v>
      </c>
      <c r="F316" s="6" t="s">
        <v>1208</v>
      </c>
      <c r="G316" s="7" t="str">
        <f>HYPERLINK("https://ovidsp.ovid.com/ovidweb.cgi?T=JS&amp;NEWS=n&amp;CSC=Y&amp;PAGE=booktext&amp;D=books&amp;SC=01434294&amp;EPUB=Y","https://ovidsp.ovid.com/ovidweb.cgi?T=JS&amp;NEWS=n&amp;CSC=Y&amp;PAGE=booktext&amp;D=books&amp;SC=01434294&amp;EPUB=Y")</f>
        <v>https://ovidsp.ovid.com/ovidweb.cgi?T=JS&amp;NEWS=n&amp;CSC=Y&amp;PAGE=booktext&amp;D=books&amp;SC=01434294&amp;EPUB=Y</v>
      </c>
      <c r="H316" s="8" t="s">
        <v>1795</v>
      </c>
    </row>
    <row r="317" spans="1:8" x14ac:dyDescent="0.3">
      <c r="A317" s="4" t="s">
        <v>1389</v>
      </c>
      <c r="B317" s="5">
        <v>44893</v>
      </c>
      <c r="C317" s="6" t="s">
        <v>1621</v>
      </c>
      <c r="D317" s="6" t="s">
        <v>1913</v>
      </c>
      <c r="E317" s="6" t="s">
        <v>2503</v>
      </c>
      <c r="F317" s="6" t="s">
        <v>241</v>
      </c>
      <c r="G317" s="7" t="str">
        <f>HYPERLINK("https://ovidsp.ovid.com/ovidweb.cgi?T=JS&amp;NEWS=n&amp;CSC=Y&amp;PAGE=booktext&amp;D=books&amp;SC=01438235&amp;EPUB=Y","https://ovidsp.ovid.com/ovidweb.cgi?T=JS&amp;NEWS=n&amp;CSC=Y&amp;PAGE=booktext&amp;D=books&amp;SC=01438235&amp;EPUB=Y")</f>
        <v>https://ovidsp.ovid.com/ovidweb.cgi?T=JS&amp;NEWS=n&amp;CSC=Y&amp;PAGE=booktext&amp;D=books&amp;SC=01438235&amp;EPUB=Y</v>
      </c>
      <c r="H317" s="8" t="s">
        <v>1795</v>
      </c>
    </row>
    <row r="318" spans="1:8" x14ac:dyDescent="0.3">
      <c r="A318" s="4" t="s">
        <v>1389</v>
      </c>
      <c r="B318" s="5">
        <v>44893</v>
      </c>
      <c r="C318" s="6" t="s">
        <v>2469</v>
      </c>
      <c r="D318" s="6" t="s">
        <v>159</v>
      </c>
      <c r="E318" s="6" t="s">
        <v>2503</v>
      </c>
      <c r="F318" s="6" t="s">
        <v>619</v>
      </c>
      <c r="G318" s="7" t="str">
        <f>HYPERLINK("https://ovidsp.ovid.com/ovidweb.cgi?T=JS&amp;NEWS=n&amp;CSC=Y&amp;PAGE=booktext&amp;D=books&amp;SC=02272962&amp;EPUB=Y","https://ovidsp.ovid.com/ovidweb.cgi?T=JS&amp;NEWS=n&amp;CSC=Y&amp;PAGE=booktext&amp;D=books&amp;SC=02272962&amp;EPUB=Y")</f>
        <v>https://ovidsp.ovid.com/ovidweb.cgi?T=JS&amp;NEWS=n&amp;CSC=Y&amp;PAGE=booktext&amp;D=books&amp;SC=02272962&amp;EPUB=Y</v>
      </c>
      <c r="H318" s="8" t="s">
        <v>1795</v>
      </c>
    </row>
    <row r="319" spans="1:8" x14ac:dyDescent="0.3">
      <c r="A319" s="4" t="s">
        <v>1001</v>
      </c>
      <c r="B319" s="5">
        <v>44893</v>
      </c>
      <c r="C319" s="6" t="s">
        <v>2613</v>
      </c>
      <c r="D319" s="6" t="s">
        <v>1216</v>
      </c>
      <c r="E319" s="6" t="s">
        <v>2503</v>
      </c>
      <c r="F319" s="6" t="s">
        <v>1208</v>
      </c>
      <c r="G319" s="7" t="str">
        <f>HYPERLINK("https://ovidsp.ovid.com/ovidweb.cgi?T=JS&amp;NEWS=n&amp;CSC=Y&amp;PAGE=booktext&amp;D=books&amp;SC=01996155&amp;EPUB=Y","https://ovidsp.ovid.com/ovidweb.cgi?T=JS&amp;NEWS=n&amp;CSC=Y&amp;PAGE=booktext&amp;D=books&amp;SC=01996155&amp;EPUB=Y")</f>
        <v>https://ovidsp.ovid.com/ovidweb.cgi?T=JS&amp;NEWS=n&amp;CSC=Y&amp;PAGE=booktext&amp;D=books&amp;SC=01996155&amp;EPUB=Y</v>
      </c>
      <c r="H319" s="8" t="s">
        <v>1795</v>
      </c>
    </row>
    <row r="320" spans="1:8" x14ac:dyDescent="0.3">
      <c r="A320" s="4" t="s">
        <v>1824</v>
      </c>
      <c r="B320" s="5">
        <v>44893</v>
      </c>
      <c r="C320" s="6" t="s">
        <v>257</v>
      </c>
      <c r="D320" s="6" t="s">
        <v>1283</v>
      </c>
      <c r="E320" s="6" t="s">
        <v>2503</v>
      </c>
      <c r="F320" s="6" t="s">
        <v>1208</v>
      </c>
      <c r="G320" s="7" t="str">
        <f>HYPERLINK("https://ovidsp.ovid.com/ovidweb.cgi?T=JS&amp;NEWS=n&amp;CSC=Y&amp;PAGE=booktext&amp;D=books&amp;SC=02233671&amp;EPUB=Y","https://ovidsp.ovid.com/ovidweb.cgi?T=JS&amp;NEWS=n&amp;CSC=Y&amp;PAGE=booktext&amp;D=books&amp;SC=02233671&amp;EPUB=Y")</f>
        <v>https://ovidsp.ovid.com/ovidweb.cgi?T=JS&amp;NEWS=n&amp;CSC=Y&amp;PAGE=booktext&amp;D=books&amp;SC=02233671&amp;EPUB=Y</v>
      </c>
      <c r="H320" s="8" t="s">
        <v>1795</v>
      </c>
    </row>
    <row r="321" spans="1:8" x14ac:dyDescent="0.3">
      <c r="A321" s="4" t="s">
        <v>256</v>
      </c>
      <c r="B321" s="5">
        <v>44893</v>
      </c>
      <c r="C321" s="6" t="s">
        <v>1903</v>
      </c>
      <c r="D321" s="6" t="s">
        <v>2004</v>
      </c>
      <c r="E321" s="6" t="s">
        <v>2503</v>
      </c>
      <c r="F321" s="6" t="s">
        <v>619</v>
      </c>
      <c r="G321" s="7" t="str">
        <f>HYPERLINK("https://ovidsp.ovid.com/ovidweb.cgi?T=JS&amp;NEWS=n&amp;CSC=Y&amp;PAGE=booktext&amp;D=books&amp;SC=01990640&amp;EPUB=Y","https://ovidsp.ovid.com/ovidweb.cgi?T=JS&amp;NEWS=n&amp;CSC=Y&amp;PAGE=booktext&amp;D=books&amp;SC=01990640&amp;EPUB=Y")</f>
        <v>https://ovidsp.ovid.com/ovidweb.cgi?T=JS&amp;NEWS=n&amp;CSC=Y&amp;PAGE=booktext&amp;D=books&amp;SC=01990640&amp;EPUB=Y</v>
      </c>
      <c r="H321" s="8" t="s">
        <v>1795</v>
      </c>
    </row>
    <row r="322" spans="1:8" x14ac:dyDescent="0.3">
      <c r="A322" s="4" t="s">
        <v>1711</v>
      </c>
      <c r="B322" s="5">
        <v>44893</v>
      </c>
      <c r="C322" s="6" t="s">
        <v>197</v>
      </c>
      <c r="D322" s="6" t="s">
        <v>2429</v>
      </c>
      <c r="E322" s="6" t="s">
        <v>2503</v>
      </c>
      <c r="F322" s="6" t="s">
        <v>1208</v>
      </c>
      <c r="G322" s="7" t="str">
        <f>HYPERLINK("https://ovidsp.ovid.com/ovidweb.cgi?T=JS&amp;NEWS=n&amp;CSC=Y&amp;PAGE=booktext&amp;D=books&amp;SC=01960906&amp;EPUB=Y","https://ovidsp.ovid.com/ovidweb.cgi?T=JS&amp;NEWS=n&amp;CSC=Y&amp;PAGE=booktext&amp;D=books&amp;SC=01960906&amp;EPUB=Y")</f>
        <v>https://ovidsp.ovid.com/ovidweb.cgi?T=JS&amp;NEWS=n&amp;CSC=Y&amp;PAGE=booktext&amp;D=books&amp;SC=01960906&amp;EPUB=Y</v>
      </c>
      <c r="H322" s="8" t="s">
        <v>1795</v>
      </c>
    </row>
    <row r="323" spans="1:8" x14ac:dyDescent="0.3">
      <c r="A323" s="4" t="s">
        <v>1121</v>
      </c>
      <c r="B323" s="5">
        <v>44893</v>
      </c>
      <c r="C323" s="6" t="s">
        <v>1263</v>
      </c>
      <c r="D323" s="6" t="s">
        <v>266</v>
      </c>
      <c r="E323" s="6" t="s">
        <v>2503</v>
      </c>
      <c r="F323" s="6" t="s">
        <v>1868</v>
      </c>
      <c r="G323" s="7" t="str">
        <f>HYPERLINK("https://ovidsp.ovid.com/ovidweb.cgi?T=JS&amp;NEWS=n&amp;CSC=Y&amp;PAGE=booktext&amp;D=books&amp;SC=02092014&amp;EPUB=Y","https://ovidsp.ovid.com/ovidweb.cgi?T=JS&amp;NEWS=n&amp;CSC=Y&amp;PAGE=booktext&amp;D=books&amp;SC=02092014&amp;EPUB=Y")</f>
        <v>https://ovidsp.ovid.com/ovidweb.cgi?T=JS&amp;NEWS=n&amp;CSC=Y&amp;PAGE=booktext&amp;D=books&amp;SC=02092014&amp;EPUB=Y</v>
      </c>
      <c r="H323" s="8" t="s">
        <v>1795</v>
      </c>
    </row>
    <row r="324" spans="1:8" x14ac:dyDescent="0.3">
      <c r="A324" s="4" t="s">
        <v>456</v>
      </c>
      <c r="B324" s="5">
        <v>44893</v>
      </c>
      <c r="C324" s="6" t="s">
        <v>2563</v>
      </c>
      <c r="D324" s="6" t="s">
        <v>1041</v>
      </c>
      <c r="E324" s="6" t="s">
        <v>2503</v>
      </c>
      <c r="F324" s="6" t="s">
        <v>1208</v>
      </c>
      <c r="G324" s="7" t="str">
        <f>HYPERLINK("https://ovidsp.ovid.com/ovidweb.cgi?T=JS&amp;NEWS=n&amp;CSC=Y&amp;PAGE=booktext&amp;D=books&amp;SC=01434327&amp;EPUB=Y","https://ovidsp.ovid.com/ovidweb.cgi?T=JS&amp;NEWS=n&amp;CSC=Y&amp;PAGE=booktext&amp;D=books&amp;SC=01434327&amp;EPUB=Y")</f>
        <v>https://ovidsp.ovid.com/ovidweb.cgi?T=JS&amp;NEWS=n&amp;CSC=Y&amp;PAGE=booktext&amp;D=books&amp;SC=01434327&amp;EPUB=Y</v>
      </c>
      <c r="H324" s="8" t="s">
        <v>1795</v>
      </c>
    </row>
    <row r="325" spans="1:8" x14ac:dyDescent="0.3">
      <c r="A325" s="4" t="s">
        <v>1951</v>
      </c>
      <c r="B325" s="5">
        <v>44893</v>
      </c>
      <c r="C325" s="6" t="s">
        <v>2328</v>
      </c>
      <c r="D325" s="6" t="s">
        <v>1122</v>
      </c>
      <c r="E325" s="6" t="s">
        <v>2503</v>
      </c>
      <c r="F325" s="6" t="s">
        <v>1208</v>
      </c>
      <c r="G325" s="7" t="str">
        <f>HYPERLINK("https://ovidsp.ovid.com/ovidweb.cgi?T=JS&amp;NEWS=n&amp;CSC=Y&amp;PAGE=booktext&amp;D=books&amp;SC=01884384&amp;EPUB=Y","https://ovidsp.ovid.com/ovidweb.cgi?T=JS&amp;NEWS=n&amp;CSC=Y&amp;PAGE=booktext&amp;D=books&amp;SC=01884384&amp;EPUB=Y")</f>
        <v>https://ovidsp.ovid.com/ovidweb.cgi?T=JS&amp;NEWS=n&amp;CSC=Y&amp;PAGE=booktext&amp;D=books&amp;SC=01884384&amp;EPUB=Y</v>
      </c>
      <c r="H325" s="8" t="s">
        <v>1795</v>
      </c>
    </row>
    <row r="326" spans="1:8" x14ac:dyDescent="0.3">
      <c r="A326" s="4" t="s">
        <v>2117</v>
      </c>
      <c r="B326" s="5">
        <v>44893</v>
      </c>
      <c r="C326" s="6" t="s">
        <v>2367</v>
      </c>
      <c r="D326" s="6" t="s">
        <v>1643</v>
      </c>
      <c r="E326" s="6" t="s">
        <v>2503</v>
      </c>
      <c r="F326" s="6" t="s">
        <v>1208</v>
      </c>
      <c r="G326" s="7" t="str">
        <f>HYPERLINK("https://ovidsp.ovid.com/ovidweb.cgi?T=JS&amp;NEWS=n&amp;CSC=Y&amp;PAGE=booktext&amp;D=books&amp;SC=01434237&amp;EPUB=Y","https://ovidsp.ovid.com/ovidweb.cgi?T=JS&amp;NEWS=n&amp;CSC=Y&amp;PAGE=booktext&amp;D=books&amp;SC=01434237&amp;EPUB=Y")</f>
        <v>https://ovidsp.ovid.com/ovidweb.cgi?T=JS&amp;NEWS=n&amp;CSC=Y&amp;PAGE=booktext&amp;D=books&amp;SC=01434237&amp;EPUB=Y</v>
      </c>
      <c r="H326" s="8" t="s">
        <v>1795</v>
      </c>
    </row>
    <row r="327" spans="1:8" x14ac:dyDescent="0.3">
      <c r="A327" s="4" t="s">
        <v>2170</v>
      </c>
      <c r="B327" s="5">
        <v>44893</v>
      </c>
      <c r="C327" s="6" t="s">
        <v>2044</v>
      </c>
      <c r="D327" s="6" t="s">
        <v>1719</v>
      </c>
      <c r="E327" s="6" t="s">
        <v>2503</v>
      </c>
      <c r="F327" s="6" t="s">
        <v>1208</v>
      </c>
      <c r="G327" s="7" t="str">
        <f>HYPERLINK("https://ovidsp.ovid.com/ovidweb.cgi?T=JS&amp;NEWS=n&amp;CSC=Y&amp;PAGE=booktext&amp;D=books&amp;SC=01435031&amp;EPUB=Y","https://ovidsp.ovid.com/ovidweb.cgi?T=JS&amp;NEWS=n&amp;CSC=Y&amp;PAGE=booktext&amp;D=books&amp;SC=01435031&amp;EPUB=Y")</f>
        <v>https://ovidsp.ovid.com/ovidweb.cgi?T=JS&amp;NEWS=n&amp;CSC=Y&amp;PAGE=booktext&amp;D=books&amp;SC=01435031&amp;EPUB=Y</v>
      </c>
      <c r="H327" s="8" t="s">
        <v>1795</v>
      </c>
    </row>
    <row r="328" spans="1:8" x14ac:dyDescent="0.3">
      <c r="A328" s="4" t="s">
        <v>2537</v>
      </c>
      <c r="B328" s="5">
        <v>44893</v>
      </c>
      <c r="C328" s="6" t="s">
        <v>71</v>
      </c>
      <c r="D328" s="6" t="s">
        <v>651</v>
      </c>
      <c r="E328" s="6" t="s">
        <v>2503</v>
      </c>
      <c r="F328" s="6" t="s">
        <v>1208</v>
      </c>
      <c r="G328" s="7" t="str">
        <f>HYPERLINK("https://ovidsp.ovid.com/ovidweb.cgi?T=JS&amp;NEWS=n&amp;CSC=Y&amp;PAGE=booktext&amp;D=books&amp;SC=01990645&amp;EPUB=Y","https://ovidsp.ovid.com/ovidweb.cgi?T=JS&amp;NEWS=n&amp;CSC=Y&amp;PAGE=booktext&amp;D=books&amp;SC=01990645&amp;EPUB=Y")</f>
        <v>https://ovidsp.ovid.com/ovidweb.cgi?T=JS&amp;NEWS=n&amp;CSC=Y&amp;PAGE=booktext&amp;D=books&amp;SC=01990645&amp;EPUB=Y</v>
      </c>
      <c r="H328" s="8" t="s">
        <v>1795</v>
      </c>
    </row>
    <row r="329" spans="1:8" x14ac:dyDescent="0.3">
      <c r="A329" s="4" t="s">
        <v>312</v>
      </c>
      <c r="B329" s="5">
        <v>44893</v>
      </c>
      <c r="C329" s="6" t="s">
        <v>1770</v>
      </c>
      <c r="D329" s="6" t="s">
        <v>2175</v>
      </c>
      <c r="E329" s="6" t="s">
        <v>2503</v>
      </c>
      <c r="F329" s="6" t="s">
        <v>1208</v>
      </c>
      <c r="G329" s="7" t="str">
        <f>HYPERLINK("https://ovidsp.ovid.com/ovidweb.cgi?T=JS&amp;NEWS=n&amp;CSC=Y&amp;PAGE=booktext&amp;D=books&amp;SC=01845236&amp;EPUB=Y","https://ovidsp.ovid.com/ovidweb.cgi?T=JS&amp;NEWS=n&amp;CSC=Y&amp;PAGE=booktext&amp;D=books&amp;SC=01845236&amp;EPUB=Y")</f>
        <v>https://ovidsp.ovid.com/ovidweb.cgi?T=JS&amp;NEWS=n&amp;CSC=Y&amp;PAGE=booktext&amp;D=books&amp;SC=01845236&amp;EPUB=Y</v>
      </c>
      <c r="H329" s="8" t="s">
        <v>1795</v>
      </c>
    </row>
    <row r="330" spans="1:8" x14ac:dyDescent="0.3">
      <c r="A330" s="4" t="s">
        <v>234</v>
      </c>
      <c r="B330" s="5">
        <v>44893</v>
      </c>
      <c r="C330" s="6" t="s">
        <v>2390</v>
      </c>
      <c r="D330" s="6" t="s">
        <v>2542</v>
      </c>
      <c r="E330" s="6" t="s">
        <v>2503</v>
      </c>
      <c r="F330" s="6" t="s">
        <v>1208</v>
      </c>
      <c r="G330" s="7" t="str">
        <f>HYPERLINK("https://ovidsp.ovid.com/ovidweb.cgi?T=JS&amp;NEWS=n&amp;CSC=Y&amp;PAGE=booktext&amp;D=books&amp;SC=01631680&amp;EPUB=Y","https://ovidsp.ovid.com/ovidweb.cgi?T=JS&amp;NEWS=n&amp;CSC=Y&amp;PAGE=booktext&amp;D=books&amp;SC=01631680&amp;EPUB=Y")</f>
        <v>https://ovidsp.ovid.com/ovidweb.cgi?T=JS&amp;NEWS=n&amp;CSC=Y&amp;PAGE=booktext&amp;D=books&amp;SC=01631680&amp;EPUB=Y</v>
      </c>
      <c r="H330" s="8" t="s">
        <v>1795</v>
      </c>
    </row>
    <row r="331" spans="1:8" x14ac:dyDescent="0.3">
      <c r="A331" s="4" t="s">
        <v>301</v>
      </c>
      <c r="B331" s="5">
        <v>44893</v>
      </c>
      <c r="C331" s="6" t="s">
        <v>313</v>
      </c>
      <c r="D331" s="6" t="s">
        <v>2577</v>
      </c>
      <c r="E331" s="6" t="s">
        <v>2503</v>
      </c>
      <c r="F331" s="6" t="s">
        <v>1208</v>
      </c>
      <c r="G331" s="7" t="str">
        <f>HYPERLINK("https://ovidsp.ovid.com/ovidweb.cgi?T=JS&amp;NEWS=n&amp;CSC=Y&amp;PAGE=booktext&amp;D=books&amp;SC=02060386&amp;EPUB=Y","https://ovidsp.ovid.com/ovidweb.cgi?T=JS&amp;NEWS=n&amp;CSC=Y&amp;PAGE=booktext&amp;D=books&amp;SC=02060386&amp;EPUB=Y")</f>
        <v>https://ovidsp.ovid.com/ovidweb.cgi?T=JS&amp;NEWS=n&amp;CSC=Y&amp;PAGE=booktext&amp;D=books&amp;SC=02060386&amp;EPUB=Y</v>
      </c>
      <c r="H331" s="8" t="s">
        <v>1795</v>
      </c>
    </row>
    <row r="332" spans="1:8" x14ac:dyDescent="0.3">
      <c r="A332" s="4" t="s">
        <v>142</v>
      </c>
      <c r="B332" s="5">
        <v>44893</v>
      </c>
      <c r="C332" s="6" t="s">
        <v>2367</v>
      </c>
      <c r="D332" s="6" t="s">
        <v>1643</v>
      </c>
      <c r="E332" s="6" t="s">
        <v>2503</v>
      </c>
      <c r="F332" s="6" t="s">
        <v>1208</v>
      </c>
      <c r="G332" s="7" t="str">
        <f>HYPERLINK("https://ovidsp.ovid.com/ovidweb.cgi?T=JS&amp;NEWS=n&amp;CSC=Y&amp;PAGE=booktext&amp;D=books&amp;SC=01434462&amp;EPUB=Y","https://ovidsp.ovid.com/ovidweb.cgi?T=JS&amp;NEWS=n&amp;CSC=Y&amp;PAGE=booktext&amp;D=books&amp;SC=01434462&amp;EPUB=Y")</f>
        <v>https://ovidsp.ovid.com/ovidweb.cgi?T=JS&amp;NEWS=n&amp;CSC=Y&amp;PAGE=booktext&amp;D=books&amp;SC=01434462&amp;EPUB=Y</v>
      </c>
      <c r="H332" s="8" t="s">
        <v>1795</v>
      </c>
    </row>
    <row r="333" spans="1:8" x14ac:dyDescent="0.3">
      <c r="A333" s="4" t="s">
        <v>1433</v>
      </c>
      <c r="B333" s="5">
        <v>44893</v>
      </c>
      <c r="C333" s="6" t="s">
        <v>2207</v>
      </c>
      <c r="D333" s="6" t="s">
        <v>1854</v>
      </c>
      <c r="E333" s="6" t="s">
        <v>2503</v>
      </c>
      <c r="F333" s="6" t="s">
        <v>1208</v>
      </c>
      <c r="G333" s="7" t="str">
        <f>HYPERLINK("https://ovidsp.ovid.com/ovidweb.cgi?T=JS&amp;NEWS=n&amp;CSC=Y&amp;PAGE=booktext&amp;D=books&amp;SC=01817240&amp;EPUB=Y","https://ovidsp.ovid.com/ovidweb.cgi?T=JS&amp;NEWS=n&amp;CSC=Y&amp;PAGE=booktext&amp;D=books&amp;SC=01817240&amp;EPUB=Y")</f>
        <v>https://ovidsp.ovid.com/ovidweb.cgi?T=JS&amp;NEWS=n&amp;CSC=Y&amp;PAGE=booktext&amp;D=books&amp;SC=01817240&amp;EPUB=Y</v>
      </c>
      <c r="H333" s="8" t="s">
        <v>1795</v>
      </c>
    </row>
    <row r="334" spans="1:8" x14ac:dyDescent="0.3">
      <c r="A334" s="4" t="s">
        <v>2583</v>
      </c>
      <c r="B334" s="5">
        <v>44893</v>
      </c>
      <c r="C334" s="6" t="s">
        <v>2367</v>
      </c>
      <c r="D334" s="6" t="s">
        <v>1643</v>
      </c>
      <c r="E334" s="6" t="s">
        <v>2503</v>
      </c>
      <c r="F334" s="6" t="s">
        <v>1208</v>
      </c>
      <c r="G334" s="7" t="str">
        <f>HYPERLINK("https://ovidsp.ovid.com/ovidweb.cgi?T=JS&amp;NEWS=n&amp;CSC=Y&amp;PAGE=booktext&amp;D=books&amp;SC=01434231&amp;EPUB=Y","https://ovidsp.ovid.com/ovidweb.cgi?T=JS&amp;NEWS=n&amp;CSC=Y&amp;PAGE=booktext&amp;D=books&amp;SC=01434231&amp;EPUB=Y")</f>
        <v>https://ovidsp.ovid.com/ovidweb.cgi?T=JS&amp;NEWS=n&amp;CSC=Y&amp;PAGE=booktext&amp;D=books&amp;SC=01434231&amp;EPUB=Y</v>
      </c>
      <c r="H334" s="8" t="s">
        <v>1795</v>
      </c>
    </row>
    <row r="335" spans="1:8" x14ac:dyDescent="0.3">
      <c r="A335" s="4" t="s">
        <v>189</v>
      </c>
      <c r="B335" s="5">
        <v>44893</v>
      </c>
      <c r="C335" s="6" t="s">
        <v>62</v>
      </c>
      <c r="D335" s="6" t="s">
        <v>2007</v>
      </c>
      <c r="E335" s="6" t="s">
        <v>2503</v>
      </c>
      <c r="F335" s="6" t="s">
        <v>1208</v>
      </c>
      <c r="G335" s="7" t="str">
        <f>HYPERLINK("https://ovidsp.ovid.com/ovidweb.cgi?T=JS&amp;NEWS=n&amp;CSC=Y&amp;PAGE=booktext&amp;D=books&amp;SC=01437814&amp;EPUB=Y","https://ovidsp.ovid.com/ovidweb.cgi?T=JS&amp;NEWS=n&amp;CSC=Y&amp;PAGE=booktext&amp;D=books&amp;SC=01437814&amp;EPUB=Y")</f>
        <v>https://ovidsp.ovid.com/ovidweb.cgi?T=JS&amp;NEWS=n&amp;CSC=Y&amp;PAGE=booktext&amp;D=books&amp;SC=01437814&amp;EPUB=Y</v>
      </c>
      <c r="H335" s="8" t="s">
        <v>1795</v>
      </c>
    </row>
    <row r="336" spans="1:8" x14ac:dyDescent="0.3">
      <c r="A336" s="4" t="s">
        <v>189</v>
      </c>
      <c r="B336" s="5">
        <v>44893</v>
      </c>
      <c r="C336" s="6" t="s">
        <v>1425</v>
      </c>
      <c r="D336" s="6" t="s">
        <v>2222</v>
      </c>
      <c r="E336" s="6" t="s">
        <v>2503</v>
      </c>
      <c r="F336" s="6" t="s">
        <v>1208</v>
      </c>
      <c r="G336" s="7" t="str">
        <f>HYPERLINK("https://ovidsp.ovid.com/ovidweb.cgi?T=JS&amp;NEWS=n&amp;CSC=Y&amp;PAGE=booktext&amp;D=books&amp;SC=01607901&amp;EPUB=Y","https://ovidsp.ovid.com/ovidweb.cgi?T=JS&amp;NEWS=n&amp;CSC=Y&amp;PAGE=booktext&amp;D=books&amp;SC=01607901&amp;EPUB=Y")</f>
        <v>https://ovidsp.ovid.com/ovidweb.cgi?T=JS&amp;NEWS=n&amp;CSC=Y&amp;PAGE=booktext&amp;D=books&amp;SC=01607901&amp;EPUB=Y</v>
      </c>
      <c r="H336" s="8" t="s">
        <v>1795</v>
      </c>
    </row>
    <row r="337" spans="1:8" x14ac:dyDescent="0.3">
      <c r="A337" s="4" t="s">
        <v>189</v>
      </c>
      <c r="B337" s="5">
        <v>44893</v>
      </c>
      <c r="C337" s="6" t="s">
        <v>2449</v>
      </c>
      <c r="D337" s="6" t="s">
        <v>731</v>
      </c>
      <c r="E337" s="6" t="s">
        <v>2503</v>
      </c>
      <c r="F337" s="6" t="s">
        <v>1208</v>
      </c>
      <c r="G337" s="7" t="str">
        <f>HYPERLINK("https://ovidsp.ovid.com/ovidweb.cgi?T=JS&amp;NEWS=n&amp;CSC=Y&amp;PAGE=booktext&amp;D=books&amp;SC=01435524&amp;EPUB=Y","https://ovidsp.ovid.com/ovidweb.cgi?T=JS&amp;NEWS=n&amp;CSC=Y&amp;PAGE=booktext&amp;D=books&amp;SC=01435524&amp;EPUB=Y")</f>
        <v>https://ovidsp.ovid.com/ovidweb.cgi?T=JS&amp;NEWS=n&amp;CSC=Y&amp;PAGE=booktext&amp;D=books&amp;SC=01435524&amp;EPUB=Y</v>
      </c>
      <c r="H337" s="8" t="s">
        <v>1795</v>
      </c>
    </row>
    <row r="338" spans="1:8" x14ac:dyDescent="0.3">
      <c r="A338" s="4" t="s">
        <v>189</v>
      </c>
      <c r="B338" s="5">
        <v>44893</v>
      </c>
      <c r="C338" s="6" t="s">
        <v>2511</v>
      </c>
      <c r="D338" s="6" t="s">
        <v>908</v>
      </c>
      <c r="E338" s="6" t="s">
        <v>2503</v>
      </c>
      <c r="F338" s="6" t="s">
        <v>1208</v>
      </c>
      <c r="G338" s="7" t="str">
        <f>HYPERLINK("https://ovidsp.ovid.com/ovidweb.cgi?T=JS&amp;NEWS=n&amp;CSC=Y&amp;PAGE=booktext&amp;D=books&amp;SC=02272480&amp;EPUB=Y","https://ovidsp.ovid.com/ovidweb.cgi?T=JS&amp;NEWS=n&amp;CSC=Y&amp;PAGE=booktext&amp;D=books&amp;SC=02272480&amp;EPUB=Y")</f>
        <v>https://ovidsp.ovid.com/ovidweb.cgi?T=JS&amp;NEWS=n&amp;CSC=Y&amp;PAGE=booktext&amp;D=books&amp;SC=02272480&amp;EPUB=Y</v>
      </c>
      <c r="H338" s="8" t="s">
        <v>1795</v>
      </c>
    </row>
    <row r="339" spans="1:8" x14ac:dyDescent="0.3">
      <c r="A339" s="4" t="s">
        <v>189</v>
      </c>
      <c r="B339" s="5">
        <v>44893</v>
      </c>
      <c r="C339" s="6" t="s">
        <v>559</v>
      </c>
      <c r="D339" s="6" t="s">
        <v>49</v>
      </c>
      <c r="E339" s="6" t="s">
        <v>2503</v>
      </c>
      <c r="F339" s="6" t="s">
        <v>241</v>
      </c>
      <c r="G339" s="7" t="str">
        <f>HYPERLINK("https://ovidsp.ovid.com/ovidweb.cgi?T=JS&amp;NEWS=n&amp;CSC=Y&amp;PAGE=booktext&amp;D=books&amp;SC=02118339&amp;EPUB=Y","https://ovidsp.ovid.com/ovidweb.cgi?T=JS&amp;NEWS=n&amp;CSC=Y&amp;PAGE=booktext&amp;D=books&amp;SC=02118339&amp;EPUB=Y")</f>
        <v>https://ovidsp.ovid.com/ovidweb.cgi?T=JS&amp;NEWS=n&amp;CSC=Y&amp;PAGE=booktext&amp;D=books&amp;SC=02118339&amp;EPUB=Y</v>
      </c>
      <c r="H339" s="8" t="s">
        <v>1795</v>
      </c>
    </row>
    <row r="340" spans="1:8" x14ac:dyDescent="0.3">
      <c r="A340" s="4" t="s">
        <v>613</v>
      </c>
      <c r="B340" s="5">
        <v>44893</v>
      </c>
      <c r="C340" s="6" t="s">
        <v>1667</v>
      </c>
      <c r="D340" s="6" t="s">
        <v>2047</v>
      </c>
      <c r="E340" s="6" t="s">
        <v>2503</v>
      </c>
      <c r="F340" s="6" t="s">
        <v>1208</v>
      </c>
      <c r="G340" s="7" t="str">
        <f>HYPERLINK("https://ovidsp.ovid.com/ovidweb.cgi?T=JS&amp;NEWS=n&amp;CSC=Y&amp;PAGE=booktext&amp;D=books&amp;SC=01647997&amp;EPUB=Y","https://ovidsp.ovid.com/ovidweb.cgi?T=JS&amp;NEWS=n&amp;CSC=Y&amp;PAGE=booktext&amp;D=books&amp;SC=01647997&amp;EPUB=Y")</f>
        <v>https://ovidsp.ovid.com/ovidweb.cgi?T=JS&amp;NEWS=n&amp;CSC=Y&amp;PAGE=booktext&amp;D=books&amp;SC=01647997&amp;EPUB=Y</v>
      </c>
      <c r="H340" s="8" t="s">
        <v>1795</v>
      </c>
    </row>
    <row r="341" spans="1:8" x14ac:dyDescent="0.3">
      <c r="A341" s="4" t="s">
        <v>32</v>
      </c>
      <c r="B341" s="5">
        <v>44893</v>
      </c>
      <c r="C341" s="6" t="s">
        <v>1781</v>
      </c>
      <c r="D341" s="6" t="s">
        <v>1688</v>
      </c>
      <c r="E341" s="6" t="s">
        <v>2503</v>
      </c>
      <c r="F341" s="6" t="s">
        <v>1208</v>
      </c>
      <c r="G341" s="7" t="str">
        <f>HYPERLINK("https://ovidsp.ovid.com/ovidweb.cgi?T=JS&amp;NEWS=n&amp;CSC=Y&amp;PAGE=booktext&amp;D=books&amp;SC=01984723&amp;EPUB=Y","https://ovidsp.ovid.com/ovidweb.cgi?T=JS&amp;NEWS=n&amp;CSC=Y&amp;PAGE=booktext&amp;D=books&amp;SC=01984723&amp;EPUB=Y")</f>
        <v>https://ovidsp.ovid.com/ovidweb.cgi?T=JS&amp;NEWS=n&amp;CSC=Y&amp;PAGE=booktext&amp;D=books&amp;SC=01984723&amp;EPUB=Y</v>
      </c>
      <c r="H341" s="8" t="s">
        <v>1795</v>
      </c>
    </row>
    <row r="342" spans="1:8" x14ac:dyDescent="0.3">
      <c r="A342" s="4" t="s">
        <v>1483</v>
      </c>
      <c r="B342" s="5">
        <v>44893</v>
      </c>
      <c r="C342" s="6" t="s">
        <v>2367</v>
      </c>
      <c r="D342" s="6" t="s">
        <v>1643</v>
      </c>
      <c r="E342" s="6" t="s">
        <v>2503</v>
      </c>
      <c r="F342" s="6" t="s">
        <v>1208</v>
      </c>
      <c r="G342" s="7" t="str">
        <f>HYPERLINK("https://ovidsp.ovid.com/ovidweb.cgi?T=JS&amp;NEWS=n&amp;CSC=Y&amp;PAGE=booktext&amp;D=books&amp;SC=01434358&amp;EPUB=Y","https://ovidsp.ovid.com/ovidweb.cgi?T=JS&amp;NEWS=n&amp;CSC=Y&amp;PAGE=booktext&amp;D=books&amp;SC=01434358&amp;EPUB=Y")</f>
        <v>https://ovidsp.ovid.com/ovidweb.cgi?T=JS&amp;NEWS=n&amp;CSC=Y&amp;PAGE=booktext&amp;D=books&amp;SC=01434358&amp;EPUB=Y</v>
      </c>
      <c r="H342" s="8" t="s">
        <v>1795</v>
      </c>
    </row>
    <row r="343" spans="1:8" x14ac:dyDescent="0.3">
      <c r="A343" s="4" t="s">
        <v>2595</v>
      </c>
      <c r="B343" s="5">
        <v>44893</v>
      </c>
      <c r="C343" s="6" t="s">
        <v>1469</v>
      </c>
      <c r="D343" s="6" t="s">
        <v>1581</v>
      </c>
      <c r="E343" s="6" t="s">
        <v>2503</v>
      </c>
      <c r="F343" s="6" t="s">
        <v>241</v>
      </c>
      <c r="G343" s="7" t="str">
        <f>HYPERLINK("https://ovidsp.ovid.com/ovidweb.cgi?T=JS&amp;NEWS=n&amp;CSC=Y&amp;PAGE=booktext&amp;D=books&amp;SC=02272736&amp;EPUB=Y","https://ovidsp.ovid.com/ovidweb.cgi?T=JS&amp;NEWS=n&amp;CSC=Y&amp;PAGE=booktext&amp;D=books&amp;SC=02272736&amp;EPUB=Y")</f>
        <v>https://ovidsp.ovid.com/ovidweb.cgi?T=JS&amp;NEWS=n&amp;CSC=Y&amp;PAGE=booktext&amp;D=books&amp;SC=02272736&amp;EPUB=Y</v>
      </c>
      <c r="H343" s="8" t="s">
        <v>1795</v>
      </c>
    </row>
    <row r="344" spans="1:8" x14ac:dyDescent="0.3">
      <c r="A344" s="4" t="s">
        <v>268</v>
      </c>
      <c r="B344" s="5">
        <v>44893</v>
      </c>
      <c r="C344" s="6" t="s">
        <v>881</v>
      </c>
      <c r="D344" s="6" t="s">
        <v>504</v>
      </c>
      <c r="E344" s="6" t="s">
        <v>2503</v>
      </c>
      <c r="F344" s="6" t="s">
        <v>1208</v>
      </c>
      <c r="G344" s="7" t="str">
        <f>HYPERLINK("https://ovidsp.ovid.com/ovidweb.cgi?T=JS&amp;NEWS=n&amp;CSC=Y&amp;PAGE=booktext&amp;D=books&amp;SC=01434535&amp;EPUB=Y","https://ovidsp.ovid.com/ovidweb.cgi?T=JS&amp;NEWS=n&amp;CSC=Y&amp;PAGE=booktext&amp;D=books&amp;SC=01434535&amp;EPUB=Y")</f>
        <v>https://ovidsp.ovid.com/ovidweb.cgi?T=JS&amp;NEWS=n&amp;CSC=Y&amp;PAGE=booktext&amp;D=books&amp;SC=01434535&amp;EPUB=Y</v>
      </c>
      <c r="H344" s="8" t="s">
        <v>1795</v>
      </c>
    </row>
    <row r="345" spans="1:8" x14ac:dyDescent="0.3">
      <c r="A345" s="4" t="s">
        <v>755</v>
      </c>
      <c r="B345" s="5">
        <v>44893</v>
      </c>
      <c r="C345" s="6" t="s">
        <v>2005</v>
      </c>
      <c r="D345" s="6" t="s">
        <v>822</v>
      </c>
      <c r="E345" s="6" t="s">
        <v>2503</v>
      </c>
      <c r="F345" s="6" t="s">
        <v>1208</v>
      </c>
      <c r="G345" s="7" t="str">
        <f>HYPERLINK("https://ovidsp.ovid.com/ovidweb.cgi?T=JS&amp;NEWS=n&amp;CSC=Y&amp;PAGE=booktext&amp;D=books&amp;SC=01933616&amp;EPUB=Y","https://ovidsp.ovid.com/ovidweb.cgi?T=JS&amp;NEWS=n&amp;CSC=Y&amp;PAGE=booktext&amp;D=books&amp;SC=01933616&amp;EPUB=Y")</f>
        <v>https://ovidsp.ovid.com/ovidweb.cgi?T=JS&amp;NEWS=n&amp;CSC=Y&amp;PAGE=booktext&amp;D=books&amp;SC=01933616&amp;EPUB=Y</v>
      </c>
      <c r="H345" s="8" t="s">
        <v>1795</v>
      </c>
    </row>
    <row r="346" spans="1:8" x14ac:dyDescent="0.3">
      <c r="A346" s="4" t="s">
        <v>105</v>
      </c>
      <c r="B346" s="5">
        <v>44893</v>
      </c>
      <c r="C346" s="6" t="s">
        <v>433</v>
      </c>
      <c r="D346" s="6" t="s">
        <v>517</v>
      </c>
      <c r="E346" s="6" t="s">
        <v>2503</v>
      </c>
      <c r="F346" s="6" t="s">
        <v>1208</v>
      </c>
      <c r="G346" s="7" t="str">
        <f>HYPERLINK("https://ovidsp.ovid.com/ovidweb.cgi?T=JS&amp;NEWS=n&amp;CSC=Y&amp;PAGE=booktext&amp;D=books&amp;SC=02273591&amp;EPUB=Y","https://ovidsp.ovid.com/ovidweb.cgi?T=JS&amp;NEWS=n&amp;CSC=Y&amp;PAGE=booktext&amp;D=books&amp;SC=02273591&amp;EPUB=Y")</f>
        <v>https://ovidsp.ovid.com/ovidweb.cgi?T=JS&amp;NEWS=n&amp;CSC=Y&amp;PAGE=booktext&amp;D=books&amp;SC=02273591&amp;EPUB=Y</v>
      </c>
      <c r="H346" s="8" t="s">
        <v>1795</v>
      </c>
    </row>
    <row r="347" spans="1:8" x14ac:dyDescent="0.3">
      <c r="A347" s="4" t="s">
        <v>1524</v>
      </c>
      <c r="B347" s="5">
        <v>44893</v>
      </c>
      <c r="C347" s="6" t="s">
        <v>193</v>
      </c>
      <c r="D347" s="6" t="s">
        <v>2150</v>
      </c>
      <c r="E347" s="6" t="s">
        <v>2503</v>
      </c>
      <c r="F347" s="6" t="s">
        <v>1208</v>
      </c>
      <c r="G347" s="7" t="str">
        <f>HYPERLINK("https://ovidsp.ovid.com/ovidweb.cgi?T=JS&amp;NEWS=n&amp;CSC=Y&amp;PAGE=booktext&amp;D=books&amp;SC=02273509&amp;EPUB=Y","https://ovidsp.ovid.com/ovidweb.cgi?T=JS&amp;NEWS=n&amp;CSC=Y&amp;PAGE=booktext&amp;D=books&amp;SC=02273509&amp;EPUB=Y")</f>
        <v>https://ovidsp.ovid.com/ovidweb.cgi?T=JS&amp;NEWS=n&amp;CSC=Y&amp;PAGE=booktext&amp;D=books&amp;SC=02273509&amp;EPUB=Y</v>
      </c>
      <c r="H347" s="8" t="s">
        <v>1795</v>
      </c>
    </row>
    <row r="348" spans="1:8" x14ac:dyDescent="0.3">
      <c r="A348" s="4" t="s">
        <v>611</v>
      </c>
      <c r="B348" s="5">
        <v>44893</v>
      </c>
      <c r="C348" s="6" t="s">
        <v>2367</v>
      </c>
      <c r="D348" s="6" t="s">
        <v>1643</v>
      </c>
      <c r="E348" s="6" t="s">
        <v>2503</v>
      </c>
      <c r="F348" s="6" t="s">
        <v>1208</v>
      </c>
      <c r="G348" s="7" t="str">
        <f>HYPERLINK("https://ovidsp.ovid.com/ovidweb.cgi?T=JS&amp;NEWS=n&amp;CSC=Y&amp;PAGE=booktext&amp;D=books&amp;SC=01434443&amp;EPUB=Y","https://ovidsp.ovid.com/ovidweb.cgi?T=JS&amp;NEWS=n&amp;CSC=Y&amp;PAGE=booktext&amp;D=books&amp;SC=01434443&amp;EPUB=Y")</f>
        <v>https://ovidsp.ovid.com/ovidweb.cgi?T=JS&amp;NEWS=n&amp;CSC=Y&amp;PAGE=booktext&amp;D=books&amp;SC=01434443&amp;EPUB=Y</v>
      </c>
      <c r="H348" s="8" t="s">
        <v>1795</v>
      </c>
    </row>
    <row r="349" spans="1:8" x14ac:dyDescent="0.3">
      <c r="A349" s="4" t="s">
        <v>2318</v>
      </c>
      <c r="B349" s="5">
        <v>44893</v>
      </c>
      <c r="C349" s="6" t="s">
        <v>2367</v>
      </c>
      <c r="D349" s="6" t="s">
        <v>1643</v>
      </c>
      <c r="E349" s="6" t="s">
        <v>2503</v>
      </c>
      <c r="F349" s="6" t="s">
        <v>1208</v>
      </c>
      <c r="G349" s="7" t="str">
        <f>HYPERLINK("https://ovidsp.ovid.com/ovidweb.cgi?T=JS&amp;NEWS=n&amp;CSC=Y&amp;PAGE=booktext&amp;D=books&amp;SC=01434259&amp;EPUB=Y","https://ovidsp.ovid.com/ovidweb.cgi?T=JS&amp;NEWS=n&amp;CSC=Y&amp;PAGE=booktext&amp;D=books&amp;SC=01434259&amp;EPUB=Y")</f>
        <v>https://ovidsp.ovid.com/ovidweb.cgi?T=JS&amp;NEWS=n&amp;CSC=Y&amp;PAGE=booktext&amp;D=books&amp;SC=01434259&amp;EPUB=Y</v>
      </c>
      <c r="H349" s="8" t="s">
        <v>1795</v>
      </c>
    </row>
    <row r="350" spans="1:8" x14ac:dyDescent="0.3">
      <c r="A350" s="4" t="s">
        <v>290</v>
      </c>
      <c r="B350" s="5">
        <v>44893</v>
      </c>
      <c r="C350" s="6" t="s">
        <v>851</v>
      </c>
      <c r="D350" s="6" t="s">
        <v>327</v>
      </c>
      <c r="E350" s="6" t="s">
        <v>2503</v>
      </c>
      <c r="F350" s="6" t="s">
        <v>1208</v>
      </c>
      <c r="G350" s="7" t="str">
        <f>HYPERLINK("https://ovidsp.ovid.com/ovidweb.cgi?T=JS&amp;NEWS=n&amp;CSC=Y&amp;PAGE=booktext&amp;D=books&amp;SC=02200531&amp;EPUB=Y","https://ovidsp.ovid.com/ovidweb.cgi?T=JS&amp;NEWS=n&amp;CSC=Y&amp;PAGE=booktext&amp;D=books&amp;SC=02200531&amp;EPUB=Y")</f>
        <v>https://ovidsp.ovid.com/ovidweb.cgi?T=JS&amp;NEWS=n&amp;CSC=Y&amp;PAGE=booktext&amp;D=books&amp;SC=02200531&amp;EPUB=Y</v>
      </c>
      <c r="H350" s="8" t="s">
        <v>1795</v>
      </c>
    </row>
    <row r="351" spans="1:8" x14ac:dyDescent="0.3">
      <c r="A351" s="4" t="s">
        <v>1174</v>
      </c>
      <c r="B351" s="5">
        <v>44893</v>
      </c>
      <c r="C351" s="6" t="s">
        <v>2559</v>
      </c>
      <c r="D351" s="6" t="s">
        <v>9</v>
      </c>
      <c r="E351" s="6" t="s">
        <v>2503</v>
      </c>
      <c r="F351" s="6" t="s">
        <v>1208</v>
      </c>
      <c r="G351" s="7" t="str">
        <f>HYPERLINK("https://ovidsp.ovid.com/ovidweb.cgi?T=JS&amp;NEWS=n&amp;CSC=Y&amp;PAGE=booktext&amp;D=books&amp;SC=02168230&amp;EPUB=Y","https://ovidsp.ovid.com/ovidweb.cgi?T=JS&amp;NEWS=n&amp;CSC=Y&amp;PAGE=booktext&amp;D=books&amp;SC=02168230&amp;EPUB=Y")</f>
        <v>https://ovidsp.ovid.com/ovidweb.cgi?T=JS&amp;NEWS=n&amp;CSC=Y&amp;PAGE=booktext&amp;D=books&amp;SC=02168230&amp;EPUB=Y</v>
      </c>
      <c r="H351" s="8" t="s">
        <v>1795</v>
      </c>
    </row>
    <row r="352" spans="1:8" x14ac:dyDescent="0.3">
      <c r="A352" s="4" t="s">
        <v>997</v>
      </c>
      <c r="B352" s="5">
        <v>44893</v>
      </c>
      <c r="C352" s="6" t="s">
        <v>903</v>
      </c>
      <c r="D352" s="6" t="s">
        <v>847</v>
      </c>
      <c r="E352" s="6" t="s">
        <v>2503</v>
      </c>
      <c r="F352" s="6" t="s">
        <v>1208</v>
      </c>
      <c r="G352" s="7" t="str">
        <f>HYPERLINK("https://ovidsp.ovid.com/ovidweb.cgi?T=JS&amp;NEWS=n&amp;CSC=Y&amp;PAGE=booktext&amp;D=books&amp;SC=02273288&amp;EPUB=Y","https://ovidsp.ovid.com/ovidweb.cgi?T=JS&amp;NEWS=n&amp;CSC=Y&amp;PAGE=booktext&amp;D=books&amp;SC=02273288&amp;EPUB=Y")</f>
        <v>https://ovidsp.ovid.com/ovidweb.cgi?T=JS&amp;NEWS=n&amp;CSC=Y&amp;PAGE=booktext&amp;D=books&amp;SC=02273288&amp;EPUB=Y</v>
      </c>
      <c r="H352" s="8" t="s">
        <v>1795</v>
      </c>
    </row>
    <row r="353" spans="1:8" x14ac:dyDescent="0.3">
      <c r="A353" s="4" t="s">
        <v>1635</v>
      </c>
      <c r="B353" s="5">
        <v>44893</v>
      </c>
      <c r="C353" s="6" t="s">
        <v>1345</v>
      </c>
      <c r="D353" s="6" t="s">
        <v>2215</v>
      </c>
      <c r="E353" s="6" t="s">
        <v>2503</v>
      </c>
      <c r="F353" s="6" t="s">
        <v>1208</v>
      </c>
      <c r="G353" s="7" t="str">
        <f>HYPERLINK("https://ovidsp.ovid.com/ovidweb.cgi?T=JS&amp;NEWS=n&amp;CSC=Y&amp;PAGE=booktext&amp;D=books&amp;SC=01436999&amp;EPUB=Y","https://ovidsp.ovid.com/ovidweb.cgi?T=JS&amp;NEWS=n&amp;CSC=Y&amp;PAGE=booktext&amp;D=books&amp;SC=01436999&amp;EPUB=Y")</f>
        <v>https://ovidsp.ovid.com/ovidweb.cgi?T=JS&amp;NEWS=n&amp;CSC=Y&amp;PAGE=booktext&amp;D=books&amp;SC=01436999&amp;EPUB=Y</v>
      </c>
      <c r="H353" s="8" t="s">
        <v>1795</v>
      </c>
    </row>
    <row r="354" spans="1:8" x14ac:dyDescent="0.3">
      <c r="A354" s="4" t="s">
        <v>1262</v>
      </c>
      <c r="B354" s="5">
        <v>44893</v>
      </c>
      <c r="C354" s="6" t="s">
        <v>2367</v>
      </c>
      <c r="D354" s="6" t="s">
        <v>1643</v>
      </c>
      <c r="E354" s="6" t="s">
        <v>2503</v>
      </c>
      <c r="F354" s="6" t="s">
        <v>1208</v>
      </c>
      <c r="G354" s="7" t="str">
        <f>HYPERLINK("https://ovidsp.ovid.com/ovidweb.cgi?T=JS&amp;NEWS=n&amp;CSC=Y&amp;PAGE=booktext&amp;D=books&amp;SC=01434260&amp;EPUB=Y","https://ovidsp.ovid.com/ovidweb.cgi?T=JS&amp;NEWS=n&amp;CSC=Y&amp;PAGE=booktext&amp;D=books&amp;SC=01434260&amp;EPUB=Y")</f>
        <v>https://ovidsp.ovid.com/ovidweb.cgi?T=JS&amp;NEWS=n&amp;CSC=Y&amp;PAGE=booktext&amp;D=books&amp;SC=01434260&amp;EPUB=Y</v>
      </c>
      <c r="H354" s="8" t="s">
        <v>1795</v>
      </c>
    </row>
    <row r="355" spans="1:8" x14ac:dyDescent="0.3">
      <c r="A355" s="4" t="s">
        <v>801</v>
      </c>
      <c r="B355" s="5">
        <v>44893</v>
      </c>
      <c r="C355" s="6" t="s">
        <v>6</v>
      </c>
      <c r="D355" s="6" t="s">
        <v>638</v>
      </c>
      <c r="E355" s="6" t="s">
        <v>2503</v>
      </c>
      <c r="F355" s="6" t="s">
        <v>241</v>
      </c>
      <c r="G355" s="7" t="str">
        <f>HYPERLINK("https://ovidsp.ovid.com/ovidweb.cgi?T=JS&amp;NEWS=n&amp;CSC=Y&amp;PAGE=booktext&amp;D=books&amp;SC=01434546&amp;EPUB=Y","https://ovidsp.ovid.com/ovidweb.cgi?T=JS&amp;NEWS=n&amp;CSC=Y&amp;PAGE=booktext&amp;D=books&amp;SC=01434546&amp;EPUB=Y")</f>
        <v>https://ovidsp.ovid.com/ovidweb.cgi?T=JS&amp;NEWS=n&amp;CSC=Y&amp;PAGE=booktext&amp;D=books&amp;SC=01434546&amp;EPUB=Y</v>
      </c>
      <c r="H355" s="8" t="s">
        <v>1795</v>
      </c>
    </row>
    <row r="356" spans="1:8" x14ac:dyDescent="0.3">
      <c r="A356" s="4" t="s">
        <v>1032</v>
      </c>
      <c r="B356" s="5">
        <v>44893</v>
      </c>
      <c r="C356" s="6" t="s">
        <v>2257</v>
      </c>
      <c r="D356" s="6" t="s">
        <v>557</v>
      </c>
      <c r="E356" s="6" t="s">
        <v>2503</v>
      </c>
      <c r="F356" s="6" t="s">
        <v>241</v>
      </c>
      <c r="G356" s="7" t="str">
        <f>HYPERLINK("https://ovidsp.ovid.com/ovidweb.cgi?T=JS&amp;NEWS=n&amp;CSC=Y&amp;PAGE=booktext&amp;D=books&amp;SC=01436860&amp;EPUB=Y","https://ovidsp.ovid.com/ovidweb.cgi?T=JS&amp;NEWS=n&amp;CSC=Y&amp;PAGE=booktext&amp;D=books&amp;SC=01436860&amp;EPUB=Y")</f>
        <v>https://ovidsp.ovid.com/ovidweb.cgi?T=JS&amp;NEWS=n&amp;CSC=Y&amp;PAGE=booktext&amp;D=books&amp;SC=01436860&amp;EPUB=Y</v>
      </c>
      <c r="H356" s="8" t="s">
        <v>1795</v>
      </c>
    </row>
    <row r="357" spans="1:8" x14ac:dyDescent="0.3">
      <c r="A357" s="4" t="s">
        <v>1466</v>
      </c>
      <c r="B357" s="5">
        <v>44893</v>
      </c>
      <c r="C357" s="6" t="s">
        <v>396</v>
      </c>
      <c r="D357" s="6" t="s">
        <v>2279</v>
      </c>
      <c r="E357" s="6" t="s">
        <v>2503</v>
      </c>
      <c r="F357" s="6" t="s">
        <v>241</v>
      </c>
      <c r="G357" s="7" t="str">
        <f>HYPERLINK("https://ovidsp.ovid.com/ovidweb.cgi?T=JS&amp;NEWS=n&amp;CSC=Y&amp;PAGE=booktext&amp;D=books&amp;SC=01439429&amp;EPUB=Y","https://ovidsp.ovid.com/ovidweb.cgi?T=JS&amp;NEWS=n&amp;CSC=Y&amp;PAGE=booktext&amp;D=books&amp;SC=01439429&amp;EPUB=Y")</f>
        <v>https://ovidsp.ovid.com/ovidweb.cgi?T=JS&amp;NEWS=n&amp;CSC=Y&amp;PAGE=booktext&amp;D=books&amp;SC=01439429&amp;EPUB=Y</v>
      </c>
      <c r="H357" s="8" t="s">
        <v>1795</v>
      </c>
    </row>
    <row r="358" spans="1:8" x14ac:dyDescent="0.3">
      <c r="A358" s="4" t="s">
        <v>1348</v>
      </c>
      <c r="B358" s="5">
        <v>44893</v>
      </c>
      <c r="C358" s="6" t="s">
        <v>1479</v>
      </c>
      <c r="D358" s="6" t="s">
        <v>581</v>
      </c>
      <c r="E358" s="6" t="s">
        <v>2503</v>
      </c>
      <c r="F358" s="6" t="s">
        <v>1208</v>
      </c>
      <c r="G358" s="7" t="str">
        <f>HYPERLINK("https://ovidsp.ovid.com/ovidweb.cgi?T=JS&amp;NEWS=n&amp;CSC=Y&amp;PAGE=booktext&amp;D=books&amp;SC=01626535&amp;EPUB=Y","https://ovidsp.ovid.com/ovidweb.cgi?T=JS&amp;NEWS=n&amp;CSC=Y&amp;PAGE=booktext&amp;D=books&amp;SC=01626535&amp;EPUB=Y")</f>
        <v>https://ovidsp.ovid.com/ovidweb.cgi?T=JS&amp;NEWS=n&amp;CSC=Y&amp;PAGE=booktext&amp;D=books&amp;SC=01626535&amp;EPUB=Y</v>
      </c>
      <c r="H358" s="8" t="s">
        <v>1795</v>
      </c>
    </row>
    <row r="359" spans="1:8" x14ac:dyDescent="0.3">
      <c r="A359" s="4" t="s">
        <v>573</v>
      </c>
      <c r="B359" s="5">
        <v>44893</v>
      </c>
      <c r="C359" s="6" t="s">
        <v>1147</v>
      </c>
      <c r="D359" s="6" t="s">
        <v>2406</v>
      </c>
      <c r="E359" s="6" t="s">
        <v>2503</v>
      </c>
      <c r="F359" s="6" t="s">
        <v>1208</v>
      </c>
      <c r="G359" s="7" t="str">
        <f>HYPERLINK("https://ovidsp.ovid.com/ovidweb.cgi?T=JS&amp;NEWS=n&amp;CSC=Y&amp;PAGE=booktext&amp;D=books&amp;SC=02024432&amp;EPUB=Y","https://ovidsp.ovid.com/ovidweb.cgi?T=JS&amp;NEWS=n&amp;CSC=Y&amp;PAGE=booktext&amp;D=books&amp;SC=02024432&amp;EPUB=Y")</f>
        <v>https://ovidsp.ovid.com/ovidweb.cgi?T=JS&amp;NEWS=n&amp;CSC=Y&amp;PAGE=booktext&amp;D=books&amp;SC=02024432&amp;EPUB=Y</v>
      </c>
      <c r="H359" s="8" t="s">
        <v>1795</v>
      </c>
    </row>
    <row r="360" spans="1:8" x14ac:dyDescent="0.3">
      <c r="A360" s="4" t="s">
        <v>2508</v>
      </c>
      <c r="B360" s="5">
        <v>44893</v>
      </c>
      <c r="C360" s="6" t="s">
        <v>2365</v>
      </c>
      <c r="D360" s="6" t="s">
        <v>1615</v>
      </c>
      <c r="E360" s="6" t="s">
        <v>2503</v>
      </c>
      <c r="F360" s="6" t="s">
        <v>1208</v>
      </c>
      <c r="G360" s="7" t="str">
        <f>HYPERLINK("https://ovidsp.ovid.com/ovidweb.cgi?T=JS&amp;NEWS=n&amp;CSC=Y&amp;PAGE=booktext&amp;D=books&amp;SC=01434470&amp;EPUB=Y","https://ovidsp.ovid.com/ovidweb.cgi?T=JS&amp;NEWS=n&amp;CSC=Y&amp;PAGE=booktext&amp;D=books&amp;SC=01434470&amp;EPUB=Y")</f>
        <v>https://ovidsp.ovid.com/ovidweb.cgi?T=JS&amp;NEWS=n&amp;CSC=Y&amp;PAGE=booktext&amp;D=books&amp;SC=01434470&amp;EPUB=Y</v>
      </c>
      <c r="H360" s="8" t="s">
        <v>1795</v>
      </c>
    </row>
    <row r="361" spans="1:8" x14ac:dyDescent="0.3">
      <c r="A361" s="4" t="s">
        <v>2019</v>
      </c>
      <c r="B361" s="5">
        <v>44893</v>
      </c>
      <c r="C361" s="6" t="s">
        <v>2367</v>
      </c>
      <c r="D361" s="6" t="s">
        <v>1643</v>
      </c>
      <c r="E361" s="6" t="s">
        <v>2503</v>
      </c>
      <c r="F361" s="6" t="s">
        <v>1208</v>
      </c>
      <c r="G361" s="7" t="str">
        <f>HYPERLINK("https://ovidsp.ovid.com/ovidweb.cgi?T=JS&amp;NEWS=n&amp;CSC=Y&amp;PAGE=booktext&amp;D=books&amp;SC=01437830&amp;EPUB=Y","https://ovidsp.ovid.com/ovidweb.cgi?T=JS&amp;NEWS=n&amp;CSC=Y&amp;PAGE=booktext&amp;D=books&amp;SC=01437830&amp;EPUB=Y")</f>
        <v>https://ovidsp.ovid.com/ovidweb.cgi?T=JS&amp;NEWS=n&amp;CSC=Y&amp;PAGE=booktext&amp;D=books&amp;SC=01437830&amp;EPUB=Y</v>
      </c>
      <c r="H361" s="8" t="s">
        <v>1795</v>
      </c>
    </row>
    <row r="362" spans="1:8" x14ac:dyDescent="0.3">
      <c r="A362" s="4" t="s">
        <v>558</v>
      </c>
      <c r="B362" s="5">
        <v>44893</v>
      </c>
      <c r="C362" s="6" t="s">
        <v>2367</v>
      </c>
      <c r="D362" s="6" t="s">
        <v>1643</v>
      </c>
      <c r="E362" s="6" t="s">
        <v>2503</v>
      </c>
      <c r="F362" s="6" t="s">
        <v>1208</v>
      </c>
      <c r="G362" s="7" t="str">
        <f>HYPERLINK("https://ovidsp.ovid.com/ovidweb.cgi?T=JS&amp;NEWS=n&amp;CSC=Y&amp;PAGE=booktext&amp;D=books&amp;SC=01434447&amp;EPUB=Y","https://ovidsp.ovid.com/ovidweb.cgi?T=JS&amp;NEWS=n&amp;CSC=Y&amp;PAGE=booktext&amp;D=books&amp;SC=01434447&amp;EPUB=Y")</f>
        <v>https://ovidsp.ovid.com/ovidweb.cgi?T=JS&amp;NEWS=n&amp;CSC=Y&amp;PAGE=booktext&amp;D=books&amp;SC=01434447&amp;EPUB=Y</v>
      </c>
      <c r="H362" s="8" t="s">
        <v>1795</v>
      </c>
    </row>
    <row r="363" spans="1:8" x14ac:dyDescent="0.3">
      <c r="A363" s="4" t="s">
        <v>509</v>
      </c>
      <c r="B363" s="5">
        <v>44893</v>
      </c>
      <c r="C363" s="6" t="s">
        <v>1578</v>
      </c>
      <c r="D363" s="6" t="s">
        <v>508</v>
      </c>
      <c r="E363" s="6" t="s">
        <v>2503</v>
      </c>
      <c r="F363" s="6" t="s">
        <v>1208</v>
      </c>
      <c r="G363" s="7" t="str">
        <f>HYPERLINK("https://ovidsp.ovid.com/ovidweb.cgi?T=JS&amp;NEWS=n&amp;CSC=Y&amp;PAGE=booktext&amp;D=books&amp;SC=01626538&amp;EPUB=Y","https://ovidsp.ovid.com/ovidweb.cgi?T=JS&amp;NEWS=n&amp;CSC=Y&amp;PAGE=booktext&amp;D=books&amp;SC=01626538&amp;EPUB=Y")</f>
        <v>https://ovidsp.ovid.com/ovidweb.cgi?T=JS&amp;NEWS=n&amp;CSC=Y&amp;PAGE=booktext&amp;D=books&amp;SC=01626538&amp;EPUB=Y</v>
      </c>
      <c r="H363" s="8" t="s">
        <v>1795</v>
      </c>
    </row>
    <row r="364" spans="1:8" x14ac:dyDescent="0.3">
      <c r="A364" s="4" t="s">
        <v>276</v>
      </c>
      <c r="B364" s="5">
        <v>44893</v>
      </c>
      <c r="C364" s="6" t="s">
        <v>2484</v>
      </c>
      <c r="D364" s="6" t="s">
        <v>2392</v>
      </c>
      <c r="E364" s="6" t="s">
        <v>2503</v>
      </c>
      <c r="F364" s="6" t="s">
        <v>1208</v>
      </c>
      <c r="G364" s="7" t="str">
        <f>HYPERLINK("https://ovidsp.ovid.com/ovidweb.cgi?T=JS&amp;NEWS=n&amp;CSC=Y&amp;PAGE=booktext&amp;D=books&amp;SC=02148826&amp;EPUB=Y","https://ovidsp.ovid.com/ovidweb.cgi?T=JS&amp;NEWS=n&amp;CSC=Y&amp;PAGE=booktext&amp;D=books&amp;SC=02148826&amp;EPUB=Y")</f>
        <v>https://ovidsp.ovid.com/ovidweb.cgi?T=JS&amp;NEWS=n&amp;CSC=Y&amp;PAGE=booktext&amp;D=books&amp;SC=02148826&amp;EPUB=Y</v>
      </c>
      <c r="H364" s="8" t="s">
        <v>1795</v>
      </c>
    </row>
    <row r="365" spans="1:8" x14ac:dyDescent="0.3">
      <c r="A365" s="4" t="s">
        <v>949</v>
      </c>
      <c r="B365" s="5">
        <v>44893</v>
      </c>
      <c r="C365" s="6" t="s">
        <v>2239</v>
      </c>
      <c r="D365" s="6" t="s">
        <v>2014</v>
      </c>
      <c r="E365" s="6" t="s">
        <v>2503</v>
      </c>
      <c r="F365" s="6" t="s">
        <v>1208</v>
      </c>
      <c r="G365" s="7" t="str">
        <f>HYPERLINK("https://ovidsp.ovid.com/ovidweb.cgi?T=JS&amp;NEWS=n&amp;CSC=Y&amp;PAGE=booktext&amp;D=books&amp;SC=02273865&amp;EPUB=Y","https://ovidsp.ovid.com/ovidweb.cgi?T=JS&amp;NEWS=n&amp;CSC=Y&amp;PAGE=booktext&amp;D=books&amp;SC=02273865&amp;EPUB=Y")</f>
        <v>https://ovidsp.ovid.com/ovidweb.cgi?T=JS&amp;NEWS=n&amp;CSC=Y&amp;PAGE=booktext&amp;D=books&amp;SC=02273865&amp;EPUB=Y</v>
      </c>
      <c r="H365" s="8" t="s">
        <v>1795</v>
      </c>
    </row>
    <row r="366" spans="1:8" x14ac:dyDescent="0.3">
      <c r="A366" s="4" t="s">
        <v>2036</v>
      </c>
      <c r="B366" s="5">
        <v>44893</v>
      </c>
      <c r="C366" s="6" t="s">
        <v>2367</v>
      </c>
      <c r="D366" s="6" t="s">
        <v>1643</v>
      </c>
      <c r="E366" s="6" t="s">
        <v>2503</v>
      </c>
      <c r="F366" s="6" t="s">
        <v>1208</v>
      </c>
      <c r="G366" s="7" t="str">
        <f>HYPERLINK("https://ovidsp.ovid.com/ovidweb.cgi?T=JS&amp;NEWS=n&amp;CSC=Y&amp;PAGE=booktext&amp;D=books&amp;SC=01434416&amp;EPUB=Y","https://ovidsp.ovid.com/ovidweb.cgi?T=JS&amp;NEWS=n&amp;CSC=Y&amp;PAGE=booktext&amp;D=books&amp;SC=01434416&amp;EPUB=Y")</f>
        <v>https://ovidsp.ovid.com/ovidweb.cgi?T=JS&amp;NEWS=n&amp;CSC=Y&amp;PAGE=booktext&amp;D=books&amp;SC=01434416&amp;EPUB=Y</v>
      </c>
      <c r="H366" s="8" t="s">
        <v>1795</v>
      </c>
    </row>
    <row r="367" spans="1:8" x14ac:dyDescent="0.3">
      <c r="A367" s="4" t="s">
        <v>1090</v>
      </c>
      <c r="B367" s="5">
        <v>44893</v>
      </c>
      <c r="C367" s="6" t="s">
        <v>2367</v>
      </c>
      <c r="D367" s="6" t="s">
        <v>1643</v>
      </c>
      <c r="E367" s="6" t="s">
        <v>2503</v>
      </c>
      <c r="F367" s="6" t="s">
        <v>1208</v>
      </c>
      <c r="G367" s="7" t="str">
        <f>HYPERLINK("https://ovidsp.ovid.com/ovidweb.cgi?T=JS&amp;NEWS=n&amp;CSC=Y&amp;PAGE=booktext&amp;D=books&amp;SC=01434286&amp;EPUB=Y","https://ovidsp.ovid.com/ovidweb.cgi?T=JS&amp;NEWS=n&amp;CSC=Y&amp;PAGE=booktext&amp;D=books&amp;SC=01434286&amp;EPUB=Y")</f>
        <v>https://ovidsp.ovid.com/ovidweb.cgi?T=JS&amp;NEWS=n&amp;CSC=Y&amp;PAGE=booktext&amp;D=books&amp;SC=01434286&amp;EPUB=Y</v>
      </c>
      <c r="H367" s="8" t="s">
        <v>1795</v>
      </c>
    </row>
    <row r="368" spans="1:8" x14ac:dyDescent="0.3">
      <c r="A368" s="4" t="s">
        <v>2321</v>
      </c>
      <c r="B368" s="5">
        <v>44893</v>
      </c>
      <c r="C368" s="6" t="s">
        <v>1708</v>
      </c>
      <c r="D368" s="6" t="s">
        <v>1577</v>
      </c>
      <c r="E368" s="6" t="s">
        <v>2503</v>
      </c>
      <c r="F368" s="6" t="s">
        <v>1208</v>
      </c>
      <c r="G368" s="7" t="str">
        <f>HYPERLINK("https://ovidsp.ovid.com/ovidweb.cgi?T=JS&amp;NEWS=n&amp;CSC=Y&amp;PAGE=booktext&amp;D=books&amp;SC=01518812&amp;EPUB=Y","https://ovidsp.ovid.com/ovidweb.cgi?T=JS&amp;NEWS=n&amp;CSC=Y&amp;PAGE=booktext&amp;D=books&amp;SC=01518812&amp;EPUB=Y")</f>
        <v>https://ovidsp.ovid.com/ovidweb.cgi?T=JS&amp;NEWS=n&amp;CSC=Y&amp;PAGE=booktext&amp;D=books&amp;SC=01518812&amp;EPUB=Y</v>
      </c>
      <c r="H368" s="8" t="s">
        <v>1795</v>
      </c>
    </row>
    <row r="369" spans="1:8" x14ac:dyDescent="0.3">
      <c r="A369" s="4" t="s">
        <v>1819</v>
      </c>
      <c r="B369" s="5">
        <v>44893</v>
      </c>
      <c r="C369" s="6" t="s">
        <v>1820</v>
      </c>
      <c r="D369" s="6" t="s">
        <v>2260</v>
      </c>
      <c r="E369" s="6" t="s">
        <v>2503</v>
      </c>
      <c r="F369" s="6" t="s">
        <v>1208</v>
      </c>
      <c r="G369" s="7" t="str">
        <f>HYPERLINK("https://ovidsp.ovid.com/ovidweb.cgi?T=JS&amp;NEWS=n&amp;CSC=Y&amp;PAGE=booktext&amp;D=books&amp;SC=01929404&amp;EPUB=Y","https://ovidsp.ovid.com/ovidweb.cgi?T=JS&amp;NEWS=n&amp;CSC=Y&amp;PAGE=booktext&amp;D=books&amp;SC=01929404&amp;EPUB=Y")</f>
        <v>https://ovidsp.ovid.com/ovidweb.cgi?T=JS&amp;NEWS=n&amp;CSC=Y&amp;PAGE=booktext&amp;D=books&amp;SC=01929404&amp;EPUB=Y</v>
      </c>
      <c r="H369" s="8" t="s">
        <v>1795</v>
      </c>
    </row>
    <row r="370" spans="1:8" x14ac:dyDescent="0.3">
      <c r="A370" s="4" t="s">
        <v>2041</v>
      </c>
      <c r="B370" s="5">
        <v>44893</v>
      </c>
      <c r="C370" s="6" t="s">
        <v>2332</v>
      </c>
      <c r="D370" s="6" t="s">
        <v>646</v>
      </c>
      <c r="E370" s="6" t="s">
        <v>2503</v>
      </c>
      <c r="F370" s="6" t="s">
        <v>1208</v>
      </c>
      <c r="G370" s="7" t="str">
        <f>HYPERLINK("https://ovidsp.ovid.com/ovidweb.cgi?T=JS&amp;NEWS=n&amp;CSC=Y&amp;PAGE=booktext&amp;D=books&amp;SC=01845235&amp;EPUB=Y","https://ovidsp.ovid.com/ovidweb.cgi?T=JS&amp;NEWS=n&amp;CSC=Y&amp;PAGE=booktext&amp;D=books&amp;SC=01845235&amp;EPUB=Y")</f>
        <v>https://ovidsp.ovid.com/ovidweb.cgi?T=JS&amp;NEWS=n&amp;CSC=Y&amp;PAGE=booktext&amp;D=books&amp;SC=01845235&amp;EPUB=Y</v>
      </c>
      <c r="H370" s="8" t="s">
        <v>1795</v>
      </c>
    </row>
    <row r="371" spans="1:8" x14ac:dyDescent="0.3">
      <c r="A371" s="4" t="s">
        <v>1657</v>
      </c>
      <c r="B371" s="5">
        <v>44893</v>
      </c>
      <c r="C371" s="6" t="s">
        <v>2367</v>
      </c>
      <c r="D371" s="6" t="s">
        <v>1643</v>
      </c>
      <c r="E371" s="6" t="s">
        <v>2503</v>
      </c>
      <c r="F371" s="6" t="s">
        <v>1208</v>
      </c>
      <c r="G371" s="7" t="str">
        <f>HYPERLINK("https://ovidsp.ovid.com/ovidweb.cgi?T=JS&amp;NEWS=n&amp;CSC=Y&amp;PAGE=booktext&amp;D=books&amp;SC=01434263&amp;EPUB=Y","https://ovidsp.ovid.com/ovidweb.cgi?T=JS&amp;NEWS=n&amp;CSC=Y&amp;PAGE=booktext&amp;D=books&amp;SC=01434263&amp;EPUB=Y")</f>
        <v>https://ovidsp.ovid.com/ovidweb.cgi?T=JS&amp;NEWS=n&amp;CSC=Y&amp;PAGE=booktext&amp;D=books&amp;SC=01434263&amp;EPUB=Y</v>
      </c>
      <c r="H371" s="8" t="s">
        <v>1795</v>
      </c>
    </row>
    <row r="372" spans="1:8" x14ac:dyDescent="0.3">
      <c r="A372" s="4" t="s">
        <v>1037</v>
      </c>
      <c r="B372" s="5">
        <v>44893</v>
      </c>
      <c r="C372" s="6" t="s">
        <v>2367</v>
      </c>
      <c r="D372" s="6" t="s">
        <v>1643</v>
      </c>
      <c r="E372" s="6" t="s">
        <v>2503</v>
      </c>
      <c r="F372" s="6" t="s">
        <v>1208</v>
      </c>
      <c r="G372" s="7" t="str">
        <f>HYPERLINK("https://ovidsp.ovid.com/ovidweb.cgi?T=JS&amp;NEWS=n&amp;CSC=Y&amp;PAGE=booktext&amp;D=books&amp;SC=01434459&amp;EPUB=Y","https://ovidsp.ovid.com/ovidweb.cgi?T=JS&amp;NEWS=n&amp;CSC=Y&amp;PAGE=booktext&amp;D=books&amp;SC=01434459&amp;EPUB=Y")</f>
        <v>https://ovidsp.ovid.com/ovidweb.cgi?T=JS&amp;NEWS=n&amp;CSC=Y&amp;PAGE=booktext&amp;D=books&amp;SC=01434459&amp;EPUB=Y</v>
      </c>
      <c r="H372" s="8" t="s">
        <v>1795</v>
      </c>
    </row>
    <row r="373" spans="1:8" x14ac:dyDescent="0.3">
      <c r="A373" s="4" t="s">
        <v>1996</v>
      </c>
      <c r="B373" s="5">
        <v>44893</v>
      </c>
      <c r="C373" s="6" t="s">
        <v>255</v>
      </c>
      <c r="D373" s="6" t="s">
        <v>786</v>
      </c>
      <c r="E373" s="6" t="s">
        <v>2503</v>
      </c>
      <c r="F373" s="6" t="s">
        <v>1208</v>
      </c>
      <c r="G373" s="7" t="str">
        <f>HYPERLINK("https://ovidsp.ovid.com/ovidweb.cgi?T=JS&amp;NEWS=n&amp;CSC=Y&amp;PAGE=booktext&amp;D=books&amp;SC=01434578&amp;EPUB=Y","https://ovidsp.ovid.com/ovidweb.cgi?T=JS&amp;NEWS=n&amp;CSC=Y&amp;PAGE=booktext&amp;D=books&amp;SC=01434578&amp;EPUB=Y")</f>
        <v>https://ovidsp.ovid.com/ovidweb.cgi?T=JS&amp;NEWS=n&amp;CSC=Y&amp;PAGE=booktext&amp;D=books&amp;SC=01434578&amp;EPUB=Y</v>
      </c>
      <c r="H373" s="8" t="s">
        <v>1795</v>
      </c>
    </row>
    <row r="374" spans="1:8" x14ac:dyDescent="0.3">
      <c r="A374" s="4" t="s">
        <v>410</v>
      </c>
      <c r="B374" s="5">
        <v>44893</v>
      </c>
      <c r="C374" s="6" t="s">
        <v>665</v>
      </c>
      <c r="D374" s="6" t="s">
        <v>2556</v>
      </c>
      <c r="E374" s="6" t="s">
        <v>2503</v>
      </c>
      <c r="F374" s="6" t="s">
        <v>1208</v>
      </c>
      <c r="G374" s="7" t="str">
        <f>HYPERLINK("https://ovidsp.ovid.com/ovidweb.cgi?T=JS&amp;NEWS=n&amp;CSC=Y&amp;PAGE=booktext&amp;D=books&amp;SC=02186174&amp;EPUB=Y","https://ovidsp.ovid.com/ovidweb.cgi?T=JS&amp;NEWS=n&amp;CSC=Y&amp;PAGE=booktext&amp;D=books&amp;SC=02186174&amp;EPUB=Y")</f>
        <v>https://ovidsp.ovid.com/ovidweb.cgi?T=JS&amp;NEWS=n&amp;CSC=Y&amp;PAGE=booktext&amp;D=books&amp;SC=02186174&amp;EPUB=Y</v>
      </c>
      <c r="H374" s="8" t="s">
        <v>1795</v>
      </c>
    </row>
    <row r="375" spans="1:8" x14ac:dyDescent="0.3">
      <c r="A375" s="4" t="s">
        <v>2554</v>
      </c>
      <c r="B375" s="5">
        <v>44893</v>
      </c>
      <c r="C375" s="6" t="s">
        <v>2367</v>
      </c>
      <c r="D375" s="6" t="s">
        <v>1643</v>
      </c>
      <c r="E375" s="6" t="s">
        <v>2503</v>
      </c>
      <c r="F375" s="6" t="s">
        <v>1208</v>
      </c>
      <c r="G375" s="7" t="str">
        <f>HYPERLINK("https://ovidsp.ovid.com/ovidweb.cgi?T=JS&amp;NEWS=n&amp;CSC=Y&amp;PAGE=booktext&amp;D=books&amp;SC=01434244&amp;EPUB=Y","https://ovidsp.ovid.com/ovidweb.cgi?T=JS&amp;NEWS=n&amp;CSC=Y&amp;PAGE=booktext&amp;D=books&amp;SC=01434244&amp;EPUB=Y")</f>
        <v>https://ovidsp.ovid.com/ovidweb.cgi?T=JS&amp;NEWS=n&amp;CSC=Y&amp;PAGE=booktext&amp;D=books&amp;SC=01434244&amp;EPUB=Y</v>
      </c>
      <c r="H375" s="8" t="s">
        <v>1795</v>
      </c>
    </row>
    <row r="376" spans="1:8" x14ac:dyDescent="0.3">
      <c r="A376" s="4" t="s">
        <v>2085</v>
      </c>
      <c r="B376" s="5">
        <v>44893</v>
      </c>
      <c r="C376" s="6" t="s">
        <v>385</v>
      </c>
      <c r="D376" s="6" t="s">
        <v>2034</v>
      </c>
      <c r="E376" s="6" t="s">
        <v>2503</v>
      </c>
      <c r="F376" s="6" t="s">
        <v>1208</v>
      </c>
      <c r="G376" s="7" t="str">
        <f>HYPERLINK("https://ovidsp.ovid.com/ovidweb.cgi?T=JS&amp;NEWS=n&amp;CSC=Y&amp;PAGE=booktext&amp;D=books&amp;SC=01979292&amp;EPUB=Y","https://ovidsp.ovid.com/ovidweb.cgi?T=JS&amp;NEWS=n&amp;CSC=Y&amp;PAGE=booktext&amp;D=books&amp;SC=01979292&amp;EPUB=Y")</f>
        <v>https://ovidsp.ovid.com/ovidweb.cgi?T=JS&amp;NEWS=n&amp;CSC=Y&amp;PAGE=booktext&amp;D=books&amp;SC=01979292&amp;EPUB=Y</v>
      </c>
      <c r="H376" s="8" t="s">
        <v>1795</v>
      </c>
    </row>
    <row r="377" spans="1:8" x14ac:dyDescent="0.3">
      <c r="A377" s="4" t="s">
        <v>2234</v>
      </c>
      <c r="B377" s="5">
        <v>44893</v>
      </c>
      <c r="C377" s="6" t="s">
        <v>2367</v>
      </c>
      <c r="D377" s="6" t="s">
        <v>1643</v>
      </c>
      <c r="E377" s="6" t="s">
        <v>2503</v>
      </c>
      <c r="F377" s="6" t="s">
        <v>1208</v>
      </c>
      <c r="G377" s="7" t="str">
        <f>HYPERLINK("https://ovidsp.ovid.com/ovidweb.cgi?T=JS&amp;NEWS=n&amp;CSC=Y&amp;PAGE=booktext&amp;D=books&amp;SC=01434364&amp;EPUB=Y","https://ovidsp.ovid.com/ovidweb.cgi?T=JS&amp;NEWS=n&amp;CSC=Y&amp;PAGE=booktext&amp;D=books&amp;SC=01434364&amp;EPUB=Y")</f>
        <v>https://ovidsp.ovid.com/ovidweb.cgi?T=JS&amp;NEWS=n&amp;CSC=Y&amp;PAGE=booktext&amp;D=books&amp;SC=01434364&amp;EPUB=Y</v>
      </c>
      <c r="H377" s="8" t="s">
        <v>1795</v>
      </c>
    </row>
    <row r="378" spans="1:8" x14ac:dyDescent="0.3">
      <c r="A378" s="4" t="s">
        <v>1851</v>
      </c>
      <c r="B378" s="5">
        <v>44893</v>
      </c>
      <c r="C378" s="6" t="s">
        <v>2367</v>
      </c>
      <c r="D378" s="6" t="s">
        <v>1643</v>
      </c>
      <c r="E378" s="6" t="s">
        <v>2503</v>
      </c>
      <c r="F378" s="6" t="s">
        <v>1208</v>
      </c>
      <c r="G378" s="7" t="str">
        <f>HYPERLINK("https://ovidsp.ovid.com/ovidweb.cgi?T=JS&amp;NEWS=n&amp;CSC=Y&amp;PAGE=booktext&amp;D=books&amp;SC=01434233&amp;EPUB=Y","https://ovidsp.ovid.com/ovidweb.cgi?T=JS&amp;NEWS=n&amp;CSC=Y&amp;PAGE=booktext&amp;D=books&amp;SC=01434233&amp;EPUB=Y")</f>
        <v>https://ovidsp.ovid.com/ovidweb.cgi?T=JS&amp;NEWS=n&amp;CSC=Y&amp;PAGE=booktext&amp;D=books&amp;SC=01434233&amp;EPUB=Y</v>
      </c>
      <c r="H378" s="8" t="s">
        <v>1795</v>
      </c>
    </row>
    <row r="379" spans="1:8" x14ac:dyDescent="0.3">
      <c r="A379" s="4" t="s">
        <v>1076</v>
      </c>
      <c r="B379" s="5">
        <v>44893</v>
      </c>
      <c r="C379" s="6" t="s">
        <v>228</v>
      </c>
      <c r="D379" s="6" t="s">
        <v>1018</v>
      </c>
      <c r="E379" s="6" t="s">
        <v>2503</v>
      </c>
      <c r="F379" s="6" t="s">
        <v>1208</v>
      </c>
      <c r="G379" s="7" t="str">
        <f>HYPERLINK("https://ovidsp.ovid.com/ovidweb.cgi?T=JS&amp;NEWS=n&amp;CSC=Y&amp;PAGE=booktext&amp;D=books&amp;SC=01434595&amp;EPUB=Y","https://ovidsp.ovid.com/ovidweb.cgi?T=JS&amp;NEWS=n&amp;CSC=Y&amp;PAGE=booktext&amp;D=books&amp;SC=01434595&amp;EPUB=Y")</f>
        <v>https://ovidsp.ovid.com/ovidweb.cgi?T=JS&amp;NEWS=n&amp;CSC=Y&amp;PAGE=booktext&amp;D=books&amp;SC=01434595&amp;EPUB=Y</v>
      </c>
      <c r="H379" s="8" t="s">
        <v>1795</v>
      </c>
    </row>
    <row r="380" spans="1:8" x14ac:dyDescent="0.3">
      <c r="A380" s="4" t="s">
        <v>727</v>
      </c>
      <c r="B380" s="5">
        <v>44893</v>
      </c>
      <c r="C380" s="6" t="s">
        <v>2367</v>
      </c>
      <c r="D380" s="6" t="s">
        <v>1643</v>
      </c>
      <c r="E380" s="6" t="s">
        <v>2503</v>
      </c>
      <c r="F380" s="6" t="s">
        <v>1208</v>
      </c>
      <c r="G380" s="7" t="str">
        <f>HYPERLINK("https://ovidsp.ovid.com/ovidweb.cgi?T=JS&amp;NEWS=n&amp;CSC=Y&amp;PAGE=booktext&amp;D=books&amp;SC=01434473&amp;EPUB=Y","https://ovidsp.ovid.com/ovidweb.cgi?T=JS&amp;NEWS=n&amp;CSC=Y&amp;PAGE=booktext&amp;D=books&amp;SC=01434473&amp;EPUB=Y")</f>
        <v>https://ovidsp.ovid.com/ovidweb.cgi?T=JS&amp;NEWS=n&amp;CSC=Y&amp;PAGE=booktext&amp;D=books&amp;SC=01434473&amp;EPUB=Y</v>
      </c>
      <c r="H380" s="8" t="s">
        <v>1795</v>
      </c>
    </row>
    <row r="381" spans="1:8" x14ac:dyDescent="0.3">
      <c r="A381" s="4" t="s">
        <v>1354</v>
      </c>
      <c r="B381" s="5">
        <v>44893</v>
      </c>
      <c r="C381" s="6" t="s">
        <v>2367</v>
      </c>
      <c r="D381" s="6" t="s">
        <v>1643</v>
      </c>
      <c r="E381" s="6" t="s">
        <v>2503</v>
      </c>
      <c r="F381" s="6" t="s">
        <v>1208</v>
      </c>
      <c r="G381" s="7" t="str">
        <f>HYPERLINK("https://ovidsp.ovid.com/ovidweb.cgi?T=JS&amp;NEWS=n&amp;CSC=Y&amp;PAGE=booktext&amp;D=books&amp;SC=01434279&amp;EPUB=Y","https://ovidsp.ovid.com/ovidweb.cgi?T=JS&amp;NEWS=n&amp;CSC=Y&amp;PAGE=booktext&amp;D=books&amp;SC=01434279&amp;EPUB=Y")</f>
        <v>https://ovidsp.ovid.com/ovidweb.cgi?T=JS&amp;NEWS=n&amp;CSC=Y&amp;PAGE=booktext&amp;D=books&amp;SC=01434279&amp;EPUB=Y</v>
      </c>
      <c r="H381" s="8" t="s">
        <v>1795</v>
      </c>
    </row>
    <row r="382" spans="1:8" x14ac:dyDescent="0.3">
      <c r="A382" s="4" t="s">
        <v>2113</v>
      </c>
      <c r="B382" s="5">
        <v>44893</v>
      </c>
      <c r="C382" s="6" t="s">
        <v>1587</v>
      </c>
      <c r="D382" s="6" t="s">
        <v>1599</v>
      </c>
      <c r="E382" s="6" t="s">
        <v>2503</v>
      </c>
      <c r="F382" s="6" t="s">
        <v>241</v>
      </c>
      <c r="G382" s="7" t="str">
        <f>HYPERLINK("https://ovidsp.ovid.com/ovidweb.cgi?T=JS&amp;NEWS=n&amp;CSC=Y&amp;PAGE=booktext&amp;D=books&amp;SC=01933617&amp;EPUB=Y","https://ovidsp.ovid.com/ovidweb.cgi?T=JS&amp;NEWS=n&amp;CSC=Y&amp;PAGE=booktext&amp;D=books&amp;SC=01933617&amp;EPUB=Y")</f>
        <v>https://ovidsp.ovid.com/ovidweb.cgi?T=JS&amp;NEWS=n&amp;CSC=Y&amp;PAGE=booktext&amp;D=books&amp;SC=01933617&amp;EPUB=Y</v>
      </c>
      <c r="H382" s="8" t="s">
        <v>1795</v>
      </c>
    </row>
    <row r="383" spans="1:8" x14ac:dyDescent="0.3">
      <c r="A383" s="4" t="s">
        <v>258</v>
      </c>
      <c r="B383" s="5">
        <v>44893</v>
      </c>
      <c r="C383" s="6" t="s">
        <v>2367</v>
      </c>
      <c r="D383" s="6" t="s">
        <v>1643</v>
      </c>
      <c r="E383" s="6" t="s">
        <v>2503</v>
      </c>
      <c r="F383" s="6" t="s">
        <v>1208</v>
      </c>
      <c r="G383" s="7" t="str">
        <f>HYPERLINK("https://ovidsp.ovid.com/ovidweb.cgi?T=JS&amp;NEWS=n&amp;CSC=Y&amp;PAGE=booktext&amp;D=books&amp;SC=01434245&amp;EPUB=Y","https://ovidsp.ovid.com/ovidweb.cgi?T=JS&amp;NEWS=n&amp;CSC=Y&amp;PAGE=booktext&amp;D=books&amp;SC=01434245&amp;EPUB=Y")</f>
        <v>https://ovidsp.ovid.com/ovidweb.cgi?T=JS&amp;NEWS=n&amp;CSC=Y&amp;PAGE=booktext&amp;D=books&amp;SC=01434245&amp;EPUB=Y</v>
      </c>
      <c r="H383" s="8" t="s">
        <v>1795</v>
      </c>
    </row>
    <row r="384" spans="1:8" x14ac:dyDescent="0.3">
      <c r="A384" s="4" t="s">
        <v>941</v>
      </c>
      <c r="B384" s="5">
        <v>44893</v>
      </c>
      <c r="C384" s="6" t="s">
        <v>1969</v>
      </c>
      <c r="D384" s="6" t="s">
        <v>18</v>
      </c>
      <c r="E384" s="6" t="s">
        <v>2503</v>
      </c>
      <c r="F384" s="6" t="s">
        <v>1208</v>
      </c>
      <c r="G384" s="7" t="str">
        <f>HYPERLINK("https://ovidsp.ovid.com/ovidweb.cgi?T=JS&amp;NEWS=n&amp;CSC=Y&amp;PAGE=booktext&amp;D=books&amp;SC=01436936&amp;EPUB=Y","https://ovidsp.ovid.com/ovidweb.cgi?T=JS&amp;NEWS=n&amp;CSC=Y&amp;PAGE=booktext&amp;D=books&amp;SC=01436936&amp;EPUB=Y")</f>
        <v>https://ovidsp.ovid.com/ovidweb.cgi?T=JS&amp;NEWS=n&amp;CSC=Y&amp;PAGE=booktext&amp;D=books&amp;SC=01436936&amp;EPUB=Y</v>
      </c>
      <c r="H384" s="8" t="s">
        <v>1795</v>
      </c>
    </row>
    <row r="385" spans="1:8" x14ac:dyDescent="0.3">
      <c r="A385" s="4" t="s">
        <v>1314</v>
      </c>
      <c r="B385" s="5">
        <v>44893</v>
      </c>
      <c r="C385" s="6" t="s">
        <v>2367</v>
      </c>
      <c r="D385" s="6" t="s">
        <v>1643</v>
      </c>
      <c r="E385" s="6" t="s">
        <v>2503</v>
      </c>
      <c r="F385" s="6" t="s">
        <v>1208</v>
      </c>
      <c r="G385" s="7" t="str">
        <f>HYPERLINK("https://ovidsp.ovid.com/ovidweb.cgi?T=JS&amp;NEWS=n&amp;CSC=Y&amp;PAGE=booktext&amp;D=books&amp;SC=01434409&amp;EPUB=Y","https://ovidsp.ovid.com/ovidweb.cgi?T=JS&amp;NEWS=n&amp;CSC=Y&amp;PAGE=booktext&amp;D=books&amp;SC=01434409&amp;EPUB=Y")</f>
        <v>https://ovidsp.ovid.com/ovidweb.cgi?T=JS&amp;NEWS=n&amp;CSC=Y&amp;PAGE=booktext&amp;D=books&amp;SC=01434409&amp;EPUB=Y</v>
      </c>
      <c r="H385" s="8" t="s">
        <v>1795</v>
      </c>
    </row>
    <row r="386" spans="1:8" x14ac:dyDescent="0.3">
      <c r="A386" s="4" t="s">
        <v>1694</v>
      </c>
      <c r="B386" s="5">
        <v>44893</v>
      </c>
      <c r="C386" s="6" t="s">
        <v>2367</v>
      </c>
      <c r="D386" s="6" t="s">
        <v>1643</v>
      </c>
      <c r="E386" s="6" t="s">
        <v>2503</v>
      </c>
      <c r="F386" s="6" t="s">
        <v>1208</v>
      </c>
      <c r="G386" s="7" t="str">
        <f>HYPERLINK("https://ovidsp.ovid.com/ovidweb.cgi?T=JS&amp;NEWS=n&amp;CSC=Y&amp;PAGE=booktext&amp;D=books&amp;SC=01434256&amp;EPUB=Y","https://ovidsp.ovid.com/ovidweb.cgi?T=JS&amp;NEWS=n&amp;CSC=Y&amp;PAGE=booktext&amp;D=books&amp;SC=01434256&amp;EPUB=Y")</f>
        <v>https://ovidsp.ovid.com/ovidweb.cgi?T=JS&amp;NEWS=n&amp;CSC=Y&amp;PAGE=booktext&amp;D=books&amp;SC=01434256&amp;EPUB=Y</v>
      </c>
      <c r="H386" s="8" t="s">
        <v>1795</v>
      </c>
    </row>
    <row r="387" spans="1:8" x14ac:dyDescent="0.3">
      <c r="A387" s="4" t="s">
        <v>169</v>
      </c>
      <c r="B387" s="5">
        <v>44893</v>
      </c>
      <c r="C387" s="6" t="s">
        <v>1531</v>
      </c>
      <c r="D387" s="6" t="s">
        <v>708</v>
      </c>
      <c r="E387" s="6" t="s">
        <v>2503</v>
      </c>
      <c r="F387" s="6" t="s">
        <v>1208</v>
      </c>
      <c r="G387" s="7" t="str">
        <f>HYPERLINK("https://ovidsp.ovid.com/ovidweb.cgi?T=JS&amp;NEWS=n&amp;CSC=Y&amp;PAGE=booktext&amp;D=books&amp;SC=01647998&amp;EPUB=Y","https://ovidsp.ovid.com/ovidweb.cgi?T=JS&amp;NEWS=n&amp;CSC=Y&amp;PAGE=booktext&amp;D=books&amp;SC=01647998&amp;EPUB=Y")</f>
        <v>https://ovidsp.ovid.com/ovidweb.cgi?T=JS&amp;NEWS=n&amp;CSC=Y&amp;PAGE=booktext&amp;D=books&amp;SC=01647998&amp;EPUB=Y</v>
      </c>
      <c r="H387" s="8" t="s">
        <v>1795</v>
      </c>
    </row>
    <row r="388" spans="1:8" x14ac:dyDescent="0.3">
      <c r="A388" s="4" t="s">
        <v>418</v>
      </c>
      <c r="B388" s="5">
        <v>44893</v>
      </c>
      <c r="C388" s="6" t="s">
        <v>2169</v>
      </c>
      <c r="D388" s="6" t="s">
        <v>1157</v>
      </c>
      <c r="E388" s="6" t="s">
        <v>2503</v>
      </c>
      <c r="F388" s="6" t="s">
        <v>619</v>
      </c>
      <c r="G388" s="7" t="str">
        <f>HYPERLINK("https://ovidsp.ovid.com/ovidweb.cgi?T=JS&amp;NEWS=n&amp;CSC=Y&amp;PAGE=booktext&amp;D=books&amp;SC=02273361&amp;EPUB=Y","https://ovidsp.ovid.com/ovidweb.cgi?T=JS&amp;NEWS=n&amp;CSC=Y&amp;PAGE=booktext&amp;D=books&amp;SC=02273361&amp;EPUB=Y")</f>
        <v>https://ovidsp.ovid.com/ovidweb.cgi?T=JS&amp;NEWS=n&amp;CSC=Y&amp;PAGE=booktext&amp;D=books&amp;SC=02273361&amp;EPUB=Y</v>
      </c>
      <c r="H388" s="8" t="s">
        <v>1795</v>
      </c>
    </row>
    <row r="389" spans="1:8" x14ac:dyDescent="0.3">
      <c r="A389" s="4" t="s">
        <v>1468</v>
      </c>
      <c r="B389" s="5">
        <v>44893</v>
      </c>
      <c r="C389" s="6" t="s">
        <v>2367</v>
      </c>
      <c r="D389" s="6" t="s">
        <v>1643</v>
      </c>
      <c r="E389" s="6" t="s">
        <v>2503</v>
      </c>
      <c r="F389" s="6" t="s">
        <v>1208</v>
      </c>
      <c r="G389" s="7" t="str">
        <f>HYPERLINK("https://ovidsp.ovid.com/ovidweb.cgi?T=JS&amp;NEWS=n&amp;CSC=Y&amp;PAGE=booktext&amp;D=books&amp;SC=01434474&amp;EPUB=Y","https://ovidsp.ovid.com/ovidweb.cgi?T=JS&amp;NEWS=n&amp;CSC=Y&amp;PAGE=booktext&amp;D=books&amp;SC=01434474&amp;EPUB=Y")</f>
        <v>https://ovidsp.ovid.com/ovidweb.cgi?T=JS&amp;NEWS=n&amp;CSC=Y&amp;PAGE=booktext&amp;D=books&amp;SC=01434474&amp;EPUB=Y</v>
      </c>
      <c r="H389" s="8" t="s">
        <v>1795</v>
      </c>
    </row>
    <row r="390" spans="1:8" x14ac:dyDescent="0.3">
      <c r="A390" s="4" t="s">
        <v>2443</v>
      </c>
      <c r="B390" s="5">
        <v>44893</v>
      </c>
      <c r="C390" s="6" t="s">
        <v>1052</v>
      </c>
      <c r="D390" s="6" t="s">
        <v>1774</v>
      </c>
      <c r="E390" s="6" t="s">
        <v>2503</v>
      </c>
      <c r="F390" s="6" t="s">
        <v>1208</v>
      </c>
      <c r="G390" s="7" t="str">
        <f>HYPERLINK("https://ovidsp.ovid.com/ovidweb.cgi?T=JS&amp;NEWS=n&amp;CSC=Y&amp;PAGE=booktext&amp;D=books&amp;SC=01434545&amp;EPUB=Y","https://ovidsp.ovid.com/ovidweb.cgi?T=JS&amp;NEWS=n&amp;CSC=Y&amp;PAGE=booktext&amp;D=books&amp;SC=01434545&amp;EPUB=Y")</f>
        <v>https://ovidsp.ovid.com/ovidweb.cgi?T=JS&amp;NEWS=n&amp;CSC=Y&amp;PAGE=booktext&amp;D=books&amp;SC=01434545&amp;EPUB=Y</v>
      </c>
      <c r="H390" s="8" t="s">
        <v>1795</v>
      </c>
    </row>
    <row r="391" spans="1:8" x14ac:dyDescent="0.3">
      <c r="A391" s="4" t="s">
        <v>2306</v>
      </c>
      <c r="B391" s="5">
        <v>44893</v>
      </c>
      <c r="C391" s="6" t="s">
        <v>1659</v>
      </c>
      <c r="D391" s="6" t="s">
        <v>642</v>
      </c>
      <c r="E391" s="6" t="s">
        <v>2503</v>
      </c>
      <c r="F391" s="6" t="s">
        <v>1208</v>
      </c>
      <c r="G391" s="7" t="str">
        <f>HYPERLINK("https://ovidsp.ovid.com/ovidweb.cgi?T=JS&amp;NEWS=n&amp;CSC=Y&amp;PAGE=booktext&amp;D=books&amp;SC=01833052&amp;EPUB=Y","https://ovidsp.ovid.com/ovidweb.cgi?T=JS&amp;NEWS=n&amp;CSC=Y&amp;PAGE=booktext&amp;D=books&amp;SC=01833052&amp;EPUB=Y")</f>
        <v>https://ovidsp.ovid.com/ovidweb.cgi?T=JS&amp;NEWS=n&amp;CSC=Y&amp;PAGE=booktext&amp;D=books&amp;SC=01833052&amp;EPUB=Y</v>
      </c>
      <c r="H391" s="8" t="s">
        <v>1795</v>
      </c>
    </row>
    <row r="392" spans="1:8" x14ac:dyDescent="0.3">
      <c r="A392" s="4" t="s">
        <v>1693</v>
      </c>
      <c r="B392" s="5">
        <v>44893</v>
      </c>
      <c r="C392" s="6" t="s">
        <v>177</v>
      </c>
      <c r="D392" s="6" t="s">
        <v>1091</v>
      </c>
      <c r="E392" s="6" t="s">
        <v>2503</v>
      </c>
      <c r="F392" s="6" t="s">
        <v>1208</v>
      </c>
      <c r="G392" s="7" t="str">
        <f>HYPERLINK("https://ovidsp.ovid.com/ovidweb.cgi?T=JS&amp;NEWS=n&amp;CSC=Y&amp;PAGE=booktext&amp;D=books&amp;SC=01990647&amp;EPUB=Y","https://ovidsp.ovid.com/ovidweb.cgi?T=JS&amp;NEWS=n&amp;CSC=Y&amp;PAGE=booktext&amp;D=books&amp;SC=01990647&amp;EPUB=Y")</f>
        <v>https://ovidsp.ovid.com/ovidweb.cgi?T=JS&amp;NEWS=n&amp;CSC=Y&amp;PAGE=booktext&amp;D=books&amp;SC=01990647&amp;EPUB=Y</v>
      </c>
      <c r="H392" s="8" t="s">
        <v>1795</v>
      </c>
    </row>
    <row r="393" spans="1:8" x14ac:dyDescent="0.3">
      <c r="A393" s="4" t="s">
        <v>2226</v>
      </c>
      <c r="B393" s="5">
        <v>44893</v>
      </c>
      <c r="C393" s="6" t="s">
        <v>2408</v>
      </c>
      <c r="D393" s="6" t="s">
        <v>818</v>
      </c>
      <c r="E393" s="6" t="s">
        <v>2503</v>
      </c>
      <c r="F393" s="6" t="s">
        <v>1208</v>
      </c>
      <c r="G393" s="7" t="str">
        <f>HYPERLINK("https://ovidsp.ovid.com/ovidweb.cgi?T=JS&amp;NEWS=n&amp;CSC=Y&amp;PAGE=booktext&amp;D=books&amp;SC=01933626&amp;EPUB=Y","https://ovidsp.ovid.com/ovidweb.cgi?T=JS&amp;NEWS=n&amp;CSC=Y&amp;PAGE=booktext&amp;D=books&amp;SC=01933626&amp;EPUB=Y")</f>
        <v>https://ovidsp.ovid.com/ovidweb.cgi?T=JS&amp;NEWS=n&amp;CSC=Y&amp;PAGE=booktext&amp;D=books&amp;SC=01933626&amp;EPUB=Y</v>
      </c>
      <c r="H393" s="8" t="s">
        <v>1795</v>
      </c>
    </row>
    <row r="394" spans="1:8" x14ac:dyDescent="0.3">
      <c r="A394" s="4" t="s">
        <v>2585</v>
      </c>
      <c r="B394" s="5">
        <v>44893</v>
      </c>
      <c r="C394" s="6" t="s">
        <v>2367</v>
      </c>
      <c r="D394" s="6" t="s">
        <v>1643</v>
      </c>
      <c r="E394" s="6" t="s">
        <v>2503</v>
      </c>
      <c r="F394" s="6" t="s">
        <v>1208</v>
      </c>
      <c r="G394" s="7" t="str">
        <f>HYPERLINK("https://ovidsp.ovid.com/ovidweb.cgi?T=JS&amp;NEWS=n&amp;CSC=Y&amp;PAGE=booktext&amp;D=books&amp;SC=01434302&amp;EPUB=Y","https://ovidsp.ovid.com/ovidweb.cgi?T=JS&amp;NEWS=n&amp;CSC=Y&amp;PAGE=booktext&amp;D=books&amp;SC=01434302&amp;EPUB=Y")</f>
        <v>https://ovidsp.ovid.com/ovidweb.cgi?T=JS&amp;NEWS=n&amp;CSC=Y&amp;PAGE=booktext&amp;D=books&amp;SC=01434302&amp;EPUB=Y</v>
      </c>
      <c r="H394" s="8" t="s">
        <v>1795</v>
      </c>
    </row>
    <row r="395" spans="1:8" x14ac:dyDescent="0.3">
      <c r="A395" s="4" t="s">
        <v>2021</v>
      </c>
      <c r="B395" s="5">
        <v>44893</v>
      </c>
      <c r="C395" s="6" t="s">
        <v>520</v>
      </c>
      <c r="D395" s="6" t="s">
        <v>349</v>
      </c>
      <c r="E395" s="6" t="s">
        <v>2503</v>
      </c>
      <c r="F395" s="6" t="s">
        <v>1208</v>
      </c>
      <c r="G395" s="7" t="str">
        <f>HYPERLINK("https://ovidsp.ovid.com/ovidweb.cgi?T=JS&amp;NEWS=n&amp;CSC=Y&amp;PAGE=booktext&amp;D=books&amp;SC=01626542&amp;EPUB=Y","https://ovidsp.ovid.com/ovidweb.cgi?T=JS&amp;NEWS=n&amp;CSC=Y&amp;PAGE=booktext&amp;D=books&amp;SC=01626542&amp;EPUB=Y")</f>
        <v>https://ovidsp.ovid.com/ovidweb.cgi?T=JS&amp;NEWS=n&amp;CSC=Y&amp;PAGE=booktext&amp;D=books&amp;SC=01626542&amp;EPUB=Y</v>
      </c>
      <c r="H395" s="8" t="s">
        <v>1795</v>
      </c>
    </row>
    <row r="396" spans="1:8" x14ac:dyDescent="0.3">
      <c r="A396" s="4" t="s">
        <v>1074</v>
      </c>
      <c r="B396" s="5">
        <v>44893</v>
      </c>
      <c r="C396" s="6" t="s">
        <v>771</v>
      </c>
      <c r="D396" s="6" t="s">
        <v>2562</v>
      </c>
      <c r="E396" s="6" t="s">
        <v>2503</v>
      </c>
      <c r="F396" s="6" t="s">
        <v>241</v>
      </c>
      <c r="G396" s="7" t="str">
        <f>HYPERLINK("https://ovidsp.ovid.com/ovidweb.cgi?T=JS&amp;NEWS=n&amp;CSC=Y&amp;PAGE=booktext&amp;D=books&amp;SC=01906644&amp;EPUB=Y","https://ovidsp.ovid.com/ovidweb.cgi?T=JS&amp;NEWS=n&amp;CSC=Y&amp;PAGE=booktext&amp;D=books&amp;SC=01906644&amp;EPUB=Y")</f>
        <v>https://ovidsp.ovid.com/ovidweb.cgi?T=JS&amp;NEWS=n&amp;CSC=Y&amp;PAGE=booktext&amp;D=books&amp;SC=01906644&amp;EPUB=Y</v>
      </c>
      <c r="H396" s="8" t="s">
        <v>1795</v>
      </c>
    </row>
    <row r="397" spans="1:8" x14ac:dyDescent="0.3">
      <c r="A397" s="4" t="s">
        <v>77</v>
      </c>
      <c r="B397" s="5">
        <v>44893</v>
      </c>
      <c r="C397" s="6" t="s">
        <v>2413</v>
      </c>
      <c r="D397" s="6" t="s">
        <v>549</v>
      </c>
      <c r="E397" s="6" t="s">
        <v>2503</v>
      </c>
      <c r="F397" s="6" t="s">
        <v>1208</v>
      </c>
      <c r="G397" s="7" t="str">
        <f>HYPERLINK("https://ovidsp.ovid.com/ovidweb.cgi?T=JS&amp;NEWS=n&amp;CSC=Y&amp;PAGE=booktext&amp;D=books&amp;SC=02273594&amp;EPUB=Y","https://ovidsp.ovid.com/ovidweb.cgi?T=JS&amp;NEWS=n&amp;CSC=Y&amp;PAGE=booktext&amp;D=books&amp;SC=02273594&amp;EPUB=Y")</f>
        <v>https://ovidsp.ovid.com/ovidweb.cgi?T=JS&amp;NEWS=n&amp;CSC=Y&amp;PAGE=booktext&amp;D=books&amp;SC=02273594&amp;EPUB=Y</v>
      </c>
      <c r="H397" s="8" t="s">
        <v>1795</v>
      </c>
    </row>
    <row r="398" spans="1:8" x14ac:dyDescent="0.3">
      <c r="A398" s="4" t="s">
        <v>270</v>
      </c>
      <c r="B398" s="5">
        <v>44893</v>
      </c>
      <c r="C398" s="6" t="s">
        <v>483</v>
      </c>
      <c r="D398" s="6" t="s">
        <v>1773</v>
      </c>
      <c r="E398" s="6" t="s">
        <v>2503</v>
      </c>
      <c r="F398" s="6" t="s">
        <v>1208</v>
      </c>
      <c r="G398" s="7" t="str">
        <f>HYPERLINK("https://ovidsp.ovid.com/ovidweb.cgi?T=JS&amp;NEWS=n&amp;CSC=Y&amp;PAGE=booktext&amp;D=books&amp;SC=02273808&amp;EPUB=Y","https://ovidsp.ovid.com/ovidweb.cgi?T=JS&amp;NEWS=n&amp;CSC=Y&amp;PAGE=booktext&amp;D=books&amp;SC=02273808&amp;EPUB=Y")</f>
        <v>https://ovidsp.ovid.com/ovidweb.cgi?T=JS&amp;NEWS=n&amp;CSC=Y&amp;PAGE=booktext&amp;D=books&amp;SC=02273808&amp;EPUB=Y</v>
      </c>
      <c r="H398" s="8" t="s">
        <v>1795</v>
      </c>
    </row>
    <row r="399" spans="1:8" x14ac:dyDescent="0.3">
      <c r="A399" s="4" t="s">
        <v>707</v>
      </c>
      <c r="B399" s="5">
        <v>44893</v>
      </c>
      <c r="C399" s="6" t="s">
        <v>2367</v>
      </c>
      <c r="D399" s="6" t="s">
        <v>1643</v>
      </c>
      <c r="E399" s="6" t="s">
        <v>2503</v>
      </c>
      <c r="F399" s="6" t="s">
        <v>1208</v>
      </c>
      <c r="G399" s="7" t="str">
        <f>HYPERLINK("https://ovidsp.ovid.com/ovidweb.cgi?T=JS&amp;NEWS=n&amp;CSC=Y&amp;PAGE=booktext&amp;D=books&amp;SC=01434253&amp;EPUB=Y","https://ovidsp.ovid.com/ovidweb.cgi?T=JS&amp;NEWS=n&amp;CSC=Y&amp;PAGE=booktext&amp;D=books&amp;SC=01434253&amp;EPUB=Y")</f>
        <v>https://ovidsp.ovid.com/ovidweb.cgi?T=JS&amp;NEWS=n&amp;CSC=Y&amp;PAGE=booktext&amp;D=books&amp;SC=01434253&amp;EPUB=Y</v>
      </c>
      <c r="H399" s="8" t="s">
        <v>1795</v>
      </c>
    </row>
    <row r="400" spans="1:8" x14ac:dyDescent="0.3">
      <c r="A400" s="4" t="s">
        <v>562</v>
      </c>
      <c r="B400" s="5">
        <v>44893</v>
      </c>
      <c r="C400" s="6" t="s">
        <v>1511</v>
      </c>
      <c r="D400" s="6" t="s">
        <v>1625</v>
      </c>
      <c r="E400" s="6" t="s">
        <v>2503</v>
      </c>
      <c r="F400" s="6" t="s">
        <v>1208</v>
      </c>
      <c r="G400" s="7" t="str">
        <f>HYPERLINK("https://ovidsp.ovid.com/ovidweb.cgi?T=JS&amp;NEWS=n&amp;CSC=Y&amp;PAGE=booktext&amp;D=books&amp;SC=01899936&amp;EPUB=Y","https://ovidsp.ovid.com/ovidweb.cgi?T=JS&amp;NEWS=n&amp;CSC=Y&amp;PAGE=booktext&amp;D=books&amp;SC=01899936&amp;EPUB=Y")</f>
        <v>https://ovidsp.ovid.com/ovidweb.cgi?T=JS&amp;NEWS=n&amp;CSC=Y&amp;PAGE=booktext&amp;D=books&amp;SC=01899936&amp;EPUB=Y</v>
      </c>
      <c r="H400" s="8" t="s">
        <v>1795</v>
      </c>
    </row>
    <row r="401" spans="1:8" x14ac:dyDescent="0.3">
      <c r="A401" s="4" t="s">
        <v>973</v>
      </c>
      <c r="B401" s="5">
        <v>44893</v>
      </c>
      <c r="C401" s="6" t="s">
        <v>2188</v>
      </c>
      <c r="D401" s="6" t="s">
        <v>1225</v>
      </c>
      <c r="E401" s="6" t="s">
        <v>2503</v>
      </c>
      <c r="F401" s="6" t="s">
        <v>1208</v>
      </c>
      <c r="G401" s="7" t="str">
        <f>HYPERLINK("https://ovidsp.ovid.com/ovidweb.cgi?T=JS&amp;NEWS=n&amp;CSC=Y&amp;PAGE=booktext&amp;D=books&amp;SC=01933618&amp;EPUB=Y","https://ovidsp.ovid.com/ovidweb.cgi?T=JS&amp;NEWS=n&amp;CSC=Y&amp;PAGE=booktext&amp;D=books&amp;SC=01933618&amp;EPUB=Y")</f>
        <v>https://ovidsp.ovid.com/ovidweb.cgi?T=JS&amp;NEWS=n&amp;CSC=Y&amp;PAGE=booktext&amp;D=books&amp;SC=01933618&amp;EPUB=Y</v>
      </c>
      <c r="H401" s="8" t="s">
        <v>1795</v>
      </c>
    </row>
    <row r="402" spans="1:8" x14ac:dyDescent="0.3">
      <c r="A402" s="4" t="s">
        <v>2221</v>
      </c>
      <c r="B402" s="5">
        <v>44893</v>
      </c>
      <c r="C402" s="6" t="s">
        <v>2148</v>
      </c>
      <c r="D402" s="6" t="s">
        <v>879</v>
      </c>
      <c r="E402" s="6" t="s">
        <v>2503</v>
      </c>
      <c r="F402" s="6" t="s">
        <v>1208</v>
      </c>
      <c r="G402" s="7" t="str">
        <f>HYPERLINK("https://ovidsp.ovid.com/ovidweb.cgi?T=JS&amp;NEWS=n&amp;CSC=Y&amp;PAGE=booktext&amp;D=books&amp;SC=02029613&amp;EPUB=Y","https://ovidsp.ovid.com/ovidweb.cgi?T=JS&amp;NEWS=n&amp;CSC=Y&amp;PAGE=booktext&amp;D=books&amp;SC=02029613&amp;EPUB=Y")</f>
        <v>https://ovidsp.ovid.com/ovidweb.cgi?T=JS&amp;NEWS=n&amp;CSC=Y&amp;PAGE=booktext&amp;D=books&amp;SC=02029613&amp;EPUB=Y</v>
      </c>
      <c r="H402" s="8" t="s">
        <v>1795</v>
      </c>
    </row>
    <row r="403" spans="1:8" x14ac:dyDescent="0.3">
      <c r="A403" s="4" t="s">
        <v>2095</v>
      </c>
      <c r="B403" s="5">
        <v>44893</v>
      </c>
      <c r="C403" s="6" t="s">
        <v>742</v>
      </c>
      <c r="D403" s="6" t="s">
        <v>1630</v>
      </c>
      <c r="E403" s="6" t="s">
        <v>2503</v>
      </c>
      <c r="F403" s="6" t="s">
        <v>1208</v>
      </c>
      <c r="G403" s="7" t="str">
        <f>HYPERLINK("https://ovidsp.ovid.com/ovidweb.cgi?T=JS&amp;NEWS=n&amp;CSC=Y&amp;PAGE=booktext&amp;D=books&amp;SC=02091938&amp;EPUB=Y","https://ovidsp.ovid.com/ovidweb.cgi?T=JS&amp;NEWS=n&amp;CSC=Y&amp;PAGE=booktext&amp;D=books&amp;SC=02091938&amp;EPUB=Y")</f>
        <v>https://ovidsp.ovid.com/ovidweb.cgi?T=JS&amp;NEWS=n&amp;CSC=Y&amp;PAGE=booktext&amp;D=books&amp;SC=02091938&amp;EPUB=Y</v>
      </c>
      <c r="H403" s="8" t="s">
        <v>1795</v>
      </c>
    </row>
    <row r="404" spans="1:8" x14ac:dyDescent="0.3">
      <c r="A404" s="4" t="s">
        <v>1723</v>
      </c>
      <c r="B404" s="5">
        <v>44893</v>
      </c>
      <c r="C404" s="6" t="s">
        <v>2296</v>
      </c>
      <c r="D404" s="6" t="s">
        <v>1251</v>
      </c>
      <c r="E404" s="6" t="s">
        <v>2503</v>
      </c>
      <c r="F404" s="6" t="s">
        <v>1208</v>
      </c>
      <c r="G404" s="7" t="str">
        <f>HYPERLINK("https://ovidsp.ovid.com/ovidweb.cgi?T=JS&amp;NEWS=n&amp;CSC=Y&amp;PAGE=booktext&amp;D=books&amp;SC=02272331&amp;EPUB=Y","https://ovidsp.ovid.com/ovidweb.cgi?T=JS&amp;NEWS=n&amp;CSC=Y&amp;PAGE=booktext&amp;D=books&amp;SC=02272331&amp;EPUB=Y")</f>
        <v>https://ovidsp.ovid.com/ovidweb.cgi?T=JS&amp;NEWS=n&amp;CSC=Y&amp;PAGE=booktext&amp;D=books&amp;SC=02272331&amp;EPUB=Y</v>
      </c>
      <c r="H404" s="8" t="s">
        <v>1795</v>
      </c>
    </row>
    <row r="405" spans="1:8" x14ac:dyDescent="0.3">
      <c r="A405" s="4" t="s">
        <v>1623</v>
      </c>
      <c r="B405" s="5">
        <v>44893</v>
      </c>
      <c r="C405" s="6" t="s">
        <v>116</v>
      </c>
      <c r="D405" s="6" t="s">
        <v>667</v>
      </c>
      <c r="E405" s="6" t="s">
        <v>2503</v>
      </c>
      <c r="F405" s="6" t="s">
        <v>1208</v>
      </c>
      <c r="G405" s="7" t="str">
        <f>HYPERLINK("https://ovidsp.ovid.com/ovidweb.cgi?T=JS&amp;NEWS=n&amp;CSC=Y&amp;PAGE=booktext&amp;D=books&amp;SC=02272665&amp;EPUB=Y","https://ovidsp.ovid.com/ovidweb.cgi?T=JS&amp;NEWS=n&amp;CSC=Y&amp;PAGE=booktext&amp;D=books&amp;SC=02272665&amp;EPUB=Y")</f>
        <v>https://ovidsp.ovid.com/ovidweb.cgi?T=JS&amp;NEWS=n&amp;CSC=Y&amp;PAGE=booktext&amp;D=books&amp;SC=02272665&amp;EPUB=Y</v>
      </c>
      <c r="H405" s="8" t="s">
        <v>1795</v>
      </c>
    </row>
    <row r="406" spans="1:8" x14ac:dyDescent="0.3">
      <c r="A406" s="4" t="s">
        <v>315</v>
      </c>
      <c r="B406" s="5">
        <v>44893</v>
      </c>
      <c r="C406" s="6" t="s">
        <v>2367</v>
      </c>
      <c r="D406" s="6" t="s">
        <v>1643</v>
      </c>
      <c r="E406" s="6" t="s">
        <v>2503</v>
      </c>
      <c r="F406" s="6" t="s">
        <v>1208</v>
      </c>
      <c r="G406" s="7" t="str">
        <f>HYPERLINK("https://ovidsp.ovid.com/ovidweb.cgi?T=JS&amp;NEWS=n&amp;CSC=Y&amp;PAGE=booktext&amp;D=books&amp;SC=01434483&amp;EPUB=Y","https://ovidsp.ovid.com/ovidweb.cgi?T=JS&amp;NEWS=n&amp;CSC=Y&amp;PAGE=booktext&amp;D=books&amp;SC=01434483&amp;EPUB=Y")</f>
        <v>https://ovidsp.ovid.com/ovidweb.cgi?T=JS&amp;NEWS=n&amp;CSC=Y&amp;PAGE=booktext&amp;D=books&amp;SC=01434483&amp;EPUB=Y</v>
      </c>
      <c r="H406" s="8" t="s">
        <v>1795</v>
      </c>
    </row>
    <row r="407" spans="1:8" x14ac:dyDescent="0.3">
      <c r="A407" s="4" t="s">
        <v>1205</v>
      </c>
      <c r="B407" s="5">
        <v>44893</v>
      </c>
      <c r="C407" s="6" t="s">
        <v>1613</v>
      </c>
      <c r="D407" s="6" t="s">
        <v>799</v>
      </c>
      <c r="E407" s="6" t="s">
        <v>2503</v>
      </c>
      <c r="F407" s="6" t="s">
        <v>1208</v>
      </c>
      <c r="G407" s="7" t="str">
        <f>HYPERLINK("https://ovidsp.ovid.com/ovidweb.cgi?T=JS&amp;NEWS=n&amp;CSC=Y&amp;PAGE=booktext&amp;D=books&amp;SC=02260723&amp;EPUB=Y","https://ovidsp.ovid.com/ovidweb.cgi?T=JS&amp;NEWS=n&amp;CSC=Y&amp;PAGE=booktext&amp;D=books&amp;SC=02260723&amp;EPUB=Y")</f>
        <v>https://ovidsp.ovid.com/ovidweb.cgi?T=JS&amp;NEWS=n&amp;CSC=Y&amp;PAGE=booktext&amp;D=books&amp;SC=02260723&amp;EPUB=Y</v>
      </c>
      <c r="H407" s="8" t="s">
        <v>1795</v>
      </c>
    </row>
    <row r="408" spans="1:8" x14ac:dyDescent="0.3">
      <c r="A408" s="4" t="s">
        <v>1552</v>
      </c>
      <c r="B408" s="5">
        <v>44893</v>
      </c>
      <c r="C408" s="6" t="s">
        <v>11</v>
      </c>
      <c r="D408" s="6" t="s">
        <v>2266</v>
      </c>
      <c r="E408" s="6" t="s">
        <v>2503</v>
      </c>
      <c r="F408" s="6" t="s">
        <v>241</v>
      </c>
      <c r="G408" s="7" t="str">
        <f>HYPERLINK("https://ovidsp.ovid.com/ovidweb.cgi?T=JS&amp;NEWS=n&amp;CSC=Y&amp;PAGE=booktext&amp;D=books&amp;SC=01845217&amp;EPUB=Y","https://ovidsp.ovid.com/ovidweb.cgi?T=JS&amp;NEWS=n&amp;CSC=Y&amp;PAGE=booktext&amp;D=books&amp;SC=01845217&amp;EPUB=Y")</f>
        <v>https://ovidsp.ovid.com/ovidweb.cgi?T=JS&amp;NEWS=n&amp;CSC=Y&amp;PAGE=booktext&amp;D=books&amp;SC=01845217&amp;EPUB=Y</v>
      </c>
      <c r="H408" s="8" t="s">
        <v>1795</v>
      </c>
    </row>
    <row r="409" spans="1:8" x14ac:dyDescent="0.3">
      <c r="A409" s="4" t="s">
        <v>340</v>
      </c>
      <c r="B409" s="5">
        <v>44893</v>
      </c>
      <c r="C409" s="6" t="s">
        <v>1846</v>
      </c>
      <c r="D409" s="6" t="s">
        <v>1702</v>
      </c>
      <c r="E409" s="6" t="s">
        <v>2503</v>
      </c>
      <c r="F409" s="6" t="s">
        <v>241</v>
      </c>
      <c r="G409" s="7" t="str">
        <f>HYPERLINK("https://ovidsp.ovid.com/ovidweb.cgi?T=JS&amp;NEWS=n&amp;CSC=Y&amp;PAGE=booktext&amp;D=books&amp;SC=01647956&amp;EPUB=Y","https://ovidsp.ovid.com/ovidweb.cgi?T=JS&amp;NEWS=n&amp;CSC=Y&amp;PAGE=booktext&amp;D=books&amp;SC=01647956&amp;EPUB=Y")</f>
        <v>https://ovidsp.ovid.com/ovidweb.cgi?T=JS&amp;NEWS=n&amp;CSC=Y&amp;PAGE=booktext&amp;D=books&amp;SC=01647956&amp;EPUB=Y</v>
      </c>
      <c r="H409" s="8" t="s">
        <v>1795</v>
      </c>
    </row>
    <row r="410" spans="1:8" x14ac:dyDescent="0.3">
      <c r="A410" s="4" t="s">
        <v>340</v>
      </c>
      <c r="B410" s="5">
        <v>44893</v>
      </c>
      <c r="C410" s="6" t="s">
        <v>2367</v>
      </c>
      <c r="D410" s="6" t="s">
        <v>1643</v>
      </c>
      <c r="E410" s="6" t="s">
        <v>2503</v>
      </c>
      <c r="F410" s="6" t="s">
        <v>1208</v>
      </c>
      <c r="G410" s="7" t="str">
        <f>HYPERLINK("https://ovidsp.ovid.com/ovidweb.cgi?T=JS&amp;NEWS=n&amp;CSC=Y&amp;PAGE=booktext&amp;D=books&amp;SC=01434319&amp;EPUB=Y","https://ovidsp.ovid.com/ovidweb.cgi?T=JS&amp;NEWS=n&amp;CSC=Y&amp;PAGE=booktext&amp;D=books&amp;SC=01434319&amp;EPUB=Y")</f>
        <v>https://ovidsp.ovid.com/ovidweb.cgi?T=JS&amp;NEWS=n&amp;CSC=Y&amp;PAGE=booktext&amp;D=books&amp;SC=01434319&amp;EPUB=Y</v>
      </c>
      <c r="H410" s="8" t="s">
        <v>1795</v>
      </c>
    </row>
    <row r="411" spans="1:8" x14ac:dyDescent="0.3">
      <c r="A411" s="4" t="s">
        <v>1217</v>
      </c>
      <c r="B411" s="5">
        <v>44893</v>
      </c>
      <c r="C411" s="6" t="s">
        <v>2367</v>
      </c>
      <c r="D411" s="6" t="s">
        <v>1643</v>
      </c>
      <c r="E411" s="6" t="s">
        <v>2503</v>
      </c>
      <c r="F411" s="6" t="s">
        <v>1208</v>
      </c>
      <c r="G411" s="7" t="str">
        <f>HYPERLINK("https://ovidsp.ovid.com/ovidweb.cgi?T=JS&amp;NEWS=n&amp;CSC=Y&amp;PAGE=booktext&amp;D=books&amp;SC=01434273&amp;EPUB=Y","https://ovidsp.ovid.com/ovidweb.cgi?T=JS&amp;NEWS=n&amp;CSC=Y&amp;PAGE=booktext&amp;D=books&amp;SC=01434273&amp;EPUB=Y")</f>
        <v>https://ovidsp.ovid.com/ovidweb.cgi?T=JS&amp;NEWS=n&amp;CSC=Y&amp;PAGE=booktext&amp;D=books&amp;SC=01434273&amp;EPUB=Y</v>
      </c>
      <c r="H411" s="8" t="s">
        <v>1795</v>
      </c>
    </row>
    <row r="412" spans="1:8" x14ac:dyDescent="0.3">
      <c r="A412" s="4" t="s">
        <v>377</v>
      </c>
      <c r="B412" s="5">
        <v>44893</v>
      </c>
      <c r="C412" s="6" t="s">
        <v>1231</v>
      </c>
      <c r="D412" s="6" t="s">
        <v>474</v>
      </c>
      <c r="E412" s="6" t="s">
        <v>2503</v>
      </c>
      <c r="F412" s="6" t="s">
        <v>241</v>
      </c>
      <c r="G412" s="7" t="str">
        <f>HYPERLINK("https://ovidsp.ovid.com/ovidweb.cgi?T=JS&amp;NEWS=n&amp;CSC=Y&amp;PAGE=booktext&amp;D=books&amp;SC=01439436&amp;EPUB=Y","https://ovidsp.ovid.com/ovidweb.cgi?T=JS&amp;NEWS=n&amp;CSC=Y&amp;PAGE=booktext&amp;D=books&amp;SC=01439436&amp;EPUB=Y")</f>
        <v>https://ovidsp.ovid.com/ovidweb.cgi?T=JS&amp;NEWS=n&amp;CSC=Y&amp;PAGE=booktext&amp;D=books&amp;SC=01439436&amp;EPUB=Y</v>
      </c>
      <c r="H412" s="8" t="s">
        <v>1795</v>
      </c>
    </row>
    <row r="413" spans="1:8" x14ac:dyDescent="0.3">
      <c r="A413" s="4" t="s">
        <v>676</v>
      </c>
      <c r="B413" s="5">
        <v>44893</v>
      </c>
      <c r="C413" s="6" t="s">
        <v>2367</v>
      </c>
      <c r="D413" s="6" t="s">
        <v>1643</v>
      </c>
      <c r="E413" s="6" t="s">
        <v>2503</v>
      </c>
      <c r="F413" s="6" t="s">
        <v>1208</v>
      </c>
      <c r="G413" s="7" t="str">
        <f>HYPERLINK("https://ovidsp.ovid.com/ovidweb.cgi?T=JS&amp;NEWS=n&amp;CSC=Y&amp;PAGE=booktext&amp;D=books&amp;SC=01434342&amp;EPUB=Y","https://ovidsp.ovid.com/ovidweb.cgi?T=JS&amp;NEWS=n&amp;CSC=Y&amp;PAGE=booktext&amp;D=books&amp;SC=01434342&amp;EPUB=Y")</f>
        <v>https://ovidsp.ovid.com/ovidweb.cgi?T=JS&amp;NEWS=n&amp;CSC=Y&amp;PAGE=booktext&amp;D=books&amp;SC=01434342&amp;EPUB=Y</v>
      </c>
      <c r="H413" s="8" t="s">
        <v>1795</v>
      </c>
    </row>
    <row r="414" spans="1:8" x14ac:dyDescent="0.3">
      <c r="A414" s="4" t="s">
        <v>2018</v>
      </c>
      <c r="B414" s="5">
        <v>44893</v>
      </c>
      <c r="C414" s="6" t="s">
        <v>808</v>
      </c>
      <c r="D414" s="6" t="s">
        <v>1498</v>
      </c>
      <c r="E414" s="6" t="s">
        <v>2503</v>
      </c>
      <c r="F414" s="6" t="s">
        <v>1208</v>
      </c>
      <c r="G414" s="7" t="str">
        <f>HYPERLINK("https://ovidsp.ovid.com/ovidweb.cgi?T=JS&amp;NEWS=n&amp;CSC=Y&amp;PAGE=booktext&amp;D=books&amp;SC=01781592&amp;EPUB=Y","https://ovidsp.ovid.com/ovidweb.cgi?T=JS&amp;NEWS=n&amp;CSC=Y&amp;PAGE=booktext&amp;D=books&amp;SC=01781592&amp;EPUB=Y")</f>
        <v>https://ovidsp.ovid.com/ovidweb.cgi?T=JS&amp;NEWS=n&amp;CSC=Y&amp;PAGE=booktext&amp;D=books&amp;SC=01781592&amp;EPUB=Y</v>
      </c>
      <c r="H414" s="8" t="s">
        <v>1795</v>
      </c>
    </row>
    <row r="415" spans="1:8" x14ac:dyDescent="0.3">
      <c r="A415" s="4" t="s">
        <v>622</v>
      </c>
      <c r="B415" s="5">
        <v>44893</v>
      </c>
      <c r="C415" s="6" t="s">
        <v>2597</v>
      </c>
      <c r="D415" s="6" t="s">
        <v>737</v>
      </c>
      <c r="E415" s="6" t="s">
        <v>2503</v>
      </c>
      <c r="F415" s="6" t="s">
        <v>1208</v>
      </c>
      <c r="G415" s="7" t="str">
        <f>HYPERLINK("https://ovidsp.ovid.com/ovidweb.cgi?T=JS&amp;NEWS=n&amp;CSC=Y&amp;PAGE=booktext&amp;D=books&amp;SC=01437817&amp;EPUB=Y","https://ovidsp.ovid.com/ovidweb.cgi?T=JS&amp;NEWS=n&amp;CSC=Y&amp;PAGE=booktext&amp;D=books&amp;SC=01437817&amp;EPUB=Y")</f>
        <v>https://ovidsp.ovid.com/ovidweb.cgi?T=JS&amp;NEWS=n&amp;CSC=Y&amp;PAGE=booktext&amp;D=books&amp;SC=01437817&amp;EPUB=Y</v>
      </c>
      <c r="H415" s="8" t="s">
        <v>1795</v>
      </c>
    </row>
    <row r="416" spans="1:8" x14ac:dyDescent="0.3">
      <c r="A416" s="4" t="s">
        <v>2049</v>
      </c>
      <c r="B416" s="5">
        <v>44893</v>
      </c>
      <c r="C416" s="6" t="s">
        <v>291</v>
      </c>
      <c r="D416" s="6" t="s">
        <v>1626</v>
      </c>
      <c r="E416" s="6" t="s">
        <v>2503</v>
      </c>
      <c r="F416" s="6" t="s">
        <v>1208</v>
      </c>
      <c r="G416" s="7" t="str">
        <f>HYPERLINK("https://ovidsp.ovid.com/ovidweb.cgi?T=JS&amp;NEWS=n&amp;CSC=Y&amp;PAGE=booktext&amp;D=books&amp;SC=01434650&amp;EPUB=Y","https://ovidsp.ovid.com/ovidweb.cgi?T=JS&amp;NEWS=n&amp;CSC=Y&amp;PAGE=booktext&amp;D=books&amp;SC=01434650&amp;EPUB=Y")</f>
        <v>https://ovidsp.ovid.com/ovidweb.cgi?T=JS&amp;NEWS=n&amp;CSC=Y&amp;PAGE=booktext&amp;D=books&amp;SC=01434650&amp;EPUB=Y</v>
      </c>
      <c r="H416" s="8" t="s">
        <v>1795</v>
      </c>
    </row>
    <row r="417" spans="1:8" x14ac:dyDescent="0.3">
      <c r="A417" s="4" t="s">
        <v>1360</v>
      </c>
      <c r="B417" s="5">
        <v>44893</v>
      </c>
      <c r="C417" s="6" t="s">
        <v>2367</v>
      </c>
      <c r="D417" s="6" t="s">
        <v>1643</v>
      </c>
      <c r="E417" s="6" t="s">
        <v>2503</v>
      </c>
      <c r="F417" s="6" t="s">
        <v>1208</v>
      </c>
      <c r="G417" s="7" t="str">
        <f>HYPERLINK("https://ovidsp.ovid.com/ovidweb.cgi?T=JS&amp;NEWS=n&amp;CSC=Y&amp;PAGE=booktext&amp;D=books&amp;SC=01434436&amp;EPUB=Y","https://ovidsp.ovid.com/ovidweb.cgi?T=JS&amp;NEWS=n&amp;CSC=Y&amp;PAGE=booktext&amp;D=books&amp;SC=01434436&amp;EPUB=Y")</f>
        <v>https://ovidsp.ovid.com/ovidweb.cgi?T=JS&amp;NEWS=n&amp;CSC=Y&amp;PAGE=booktext&amp;D=books&amp;SC=01434436&amp;EPUB=Y</v>
      </c>
      <c r="H417" s="8" t="s">
        <v>1795</v>
      </c>
    </row>
    <row r="418" spans="1:8" x14ac:dyDescent="0.3">
      <c r="A418" s="4" t="s">
        <v>2286</v>
      </c>
      <c r="B418" s="5">
        <v>44893</v>
      </c>
      <c r="C418" s="6" t="s">
        <v>1518</v>
      </c>
      <c r="D418" s="6" t="s">
        <v>2320</v>
      </c>
      <c r="E418" s="6" t="s">
        <v>2503</v>
      </c>
      <c r="F418" s="6" t="s">
        <v>1208</v>
      </c>
      <c r="G418" s="7" t="str">
        <f>HYPERLINK("https://ovidsp.ovid.com/ovidweb.cgi?T=JS&amp;NEWS=n&amp;CSC=Y&amp;PAGE=booktext&amp;D=books&amp;SC=02060384&amp;EPUB=Y","https://ovidsp.ovid.com/ovidweb.cgi?T=JS&amp;NEWS=n&amp;CSC=Y&amp;PAGE=booktext&amp;D=books&amp;SC=02060384&amp;EPUB=Y")</f>
        <v>https://ovidsp.ovid.com/ovidweb.cgi?T=JS&amp;NEWS=n&amp;CSC=Y&amp;PAGE=booktext&amp;D=books&amp;SC=02060384&amp;EPUB=Y</v>
      </c>
      <c r="H418" s="8" t="s">
        <v>1795</v>
      </c>
    </row>
    <row r="419" spans="1:8" x14ac:dyDescent="0.3">
      <c r="A419" s="4" t="s">
        <v>46</v>
      </c>
      <c r="B419" s="5">
        <v>44893</v>
      </c>
      <c r="C419" s="6" t="s">
        <v>2367</v>
      </c>
      <c r="D419" s="6" t="s">
        <v>1643</v>
      </c>
      <c r="E419" s="6" t="s">
        <v>2503</v>
      </c>
      <c r="F419" s="6" t="s">
        <v>1208</v>
      </c>
      <c r="G419" s="7" t="str">
        <f>HYPERLINK("https://ovidsp.ovid.com/ovidweb.cgi?T=JS&amp;NEWS=n&amp;CSC=Y&amp;PAGE=booktext&amp;D=books&amp;SC=01434504&amp;EPUB=Y","https://ovidsp.ovid.com/ovidweb.cgi?T=JS&amp;NEWS=n&amp;CSC=Y&amp;PAGE=booktext&amp;D=books&amp;SC=01434504&amp;EPUB=Y")</f>
        <v>https://ovidsp.ovid.com/ovidweb.cgi?T=JS&amp;NEWS=n&amp;CSC=Y&amp;PAGE=booktext&amp;D=books&amp;SC=01434504&amp;EPUB=Y</v>
      </c>
      <c r="H419" s="8" t="s">
        <v>1795</v>
      </c>
    </row>
    <row r="420" spans="1:8" x14ac:dyDescent="0.3">
      <c r="A420" s="4" t="s">
        <v>2493</v>
      </c>
      <c r="B420" s="5">
        <v>44893</v>
      </c>
      <c r="C420" s="6" t="s">
        <v>1995</v>
      </c>
      <c r="D420" s="6" t="s">
        <v>2253</v>
      </c>
      <c r="E420" s="6" t="s">
        <v>2503</v>
      </c>
      <c r="F420" s="6" t="s">
        <v>1208</v>
      </c>
      <c r="G420" s="7" t="str">
        <f>HYPERLINK("https://ovidsp.ovid.com/ovidweb.cgi?T=JS&amp;NEWS=n&amp;CSC=Y&amp;PAGE=booktext&amp;D=books&amp;SC=01838256&amp;EPUB=Y","https://ovidsp.ovid.com/ovidweb.cgi?T=JS&amp;NEWS=n&amp;CSC=Y&amp;PAGE=booktext&amp;D=books&amp;SC=01838256&amp;EPUB=Y")</f>
        <v>https://ovidsp.ovid.com/ovidweb.cgi?T=JS&amp;NEWS=n&amp;CSC=Y&amp;PAGE=booktext&amp;D=books&amp;SC=01838256&amp;EPUB=Y</v>
      </c>
      <c r="H420" s="8" t="s">
        <v>1795</v>
      </c>
    </row>
    <row r="421" spans="1:8" x14ac:dyDescent="0.3">
      <c r="A421" s="4" t="s">
        <v>469</v>
      </c>
      <c r="B421" s="5">
        <v>44893</v>
      </c>
      <c r="C421" s="6" t="s">
        <v>1337</v>
      </c>
      <c r="D421" s="6" t="s">
        <v>387</v>
      </c>
      <c r="E421" s="6" t="s">
        <v>2503</v>
      </c>
      <c r="F421" s="6" t="s">
        <v>1208</v>
      </c>
      <c r="G421" s="7" t="str">
        <f>HYPERLINK("https://ovidsp.ovid.com/ovidweb.cgi?T=JS&amp;NEWS=n&amp;CSC=Y&amp;PAGE=booktext&amp;D=books&amp;SC=01434620&amp;EPUB=Y","https://ovidsp.ovid.com/ovidweb.cgi?T=JS&amp;NEWS=n&amp;CSC=Y&amp;PAGE=booktext&amp;D=books&amp;SC=01434620&amp;EPUB=Y")</f>
        <v>https://ovidsp.ovid.com/ovidweb.cgi?T=JS&amp;NEWS=n&amp;CSC=Y&amp;PAGE=booktext&amp;D=books&amp;SC=01434620&amp;EPUB=Y</v>
      </c>
      <c r="H421" s="8" t="s">
        <v>1795</v>
      </c>
    </row>
    <row r="422" spans="1:8" x14ac:dyDescent="0.3">
      <c r="A422" s="4" t="s">
        <v>2325</v>
      </c>
      <c r="B422" s="5">
        <v>44893</v>
      </c>
      <c r="C422" s="6" t="s">
        <v>2367</v>
      </c>
      <c r="D422" s="6" t="s">
        <v>1643</v>
      </c>
      <c r="E422" s="6" t="s">
        <v>2503</v>
      </c>
      <c r="F422" s="6" t="s">
        <v>1208</v>
      </c>
      <c r="G422" s="7" t="str">
        <f>HYPERLINK("https://ovidsp.ovid.com/ovidweb.cgi?T=JS&amp;NEWS=n&amp;CSC=Y&amp;PAGE=booktext&amp;D=books&amp;SC=01434361&amp;EPUB=Y","https://ovidsp.ovid.com/ovidweb.cgi?T=JS&amp;NEWS=n&amp;CSC=Y&amp;PAGE=booktext&amp;D=books&amp;SC=01434361&amp;EPUB=Y")</f>
        <v>https://ovidsp.ovid.com/ovidweb.cgi?T=JS&amp;NEWS=n&amp;CSC=Y&amp;PAGE=booktext&amp;D=books&amp;SC=01434361&amp;EPUB=Y</v>
      </c>
      <c r="H422" s="8" t="s">
        <v>1795</v>
      </c>
    </row>
    <row r="423" spans="1:8" x14ac:dyDescent="0.3">
      <c r="A423" s="4" t="s">
        <v>735</v>
      </c>
      <c r="B423" s="5">
        <v>44893</v>
      </c>
      <c r="C423" s="6" t="s">
        <v>2367</v>
      </c>
      <c r="D423" s="6" t="s">
        <v>1643</v>
      </c>
      <c r="E423" s="6" t="s">
        <v>2503</v>
      </c>
      <c r="F423" s="6" t="s">
        <v>1208</v>
      </c>
      <c r="G423" s="7" t="str">
        <f>HYPERLINK("https://ovidsp.ovid.com/ovidweb.cgi?T=JS&amp;NEWS=n&amp;CSC=Y&amp;PAGE=booktext&amp;D=books&amp;SC=01434565&amp;EPUB=Y","https://ovidsp.ovid.com/ovidweb.cgi?T=JS&amp;NEWS=n&amp;CSC=Y&amp;PAGE=booktext&amp;D=books&amp;SC=01434565&amp;EPUB=Y")</f>
        <v>https://ovidsp.ovid.com/ovidweb.cgi?T=JS&amp;NEWS=n&amp;CSC=Y&amp;PAGE=booktext&amp;D=books&amp;SC=01434565&amp;EPUB=Y</v>
      </c>
      <c r="H423" s="8" t="s">
        <v>1795</v>
      </c>
    </row>
    <row r="424" spans="1:8" x14ac:dyDescent="0.3">
      <c r="A424" s="4" t="s">
        <v>224</v>
      </c>
      <c r="B424" s="5">
        <v>44893</v>
      </c>
      <c r="C424" s="6" t="s">
        <v>2492</v>
      </c>
      <c r="D424" s="6" t="s">
        <v>384</v>
      </c>
      <c r="E424" s="6" t="s">
        <v>2503</v>
      </c>
      <c r="F424" s="6" t="s">
        <v>1208</v>
      </c>
      <c r="G424" s="7" t="str">
        <f>HYPERLINK("https://ovidsp.ovid.com/ovidweb.cgi?T=JS&amp;NEWS=n&amp;CSC=Y&amp;PAGE=booktext&amp;D=books&amp;SC=01434576&amp;EPUB=Y","https://ovidsp.ovid.com/ovidweb.cgi?T=JS&amp;NEWS=n&amp;CSC=Y&amp;PAGE=booktext&amp;D=books&amp;SC=01434576&amp;EPUB=Y")</f>
        <v>https://ovidsp.ovid.com/ovidweb.cgi?T=JS&amp;NEWS=n&amp;CSC=Y&amp;PAGE=booktext&amp;D=books&amp;SC=01434576&amp;EPUB=Y</v>
      </c>
      <c r="H424" s="8" t="s">
        <v>1795</v>
      </c>
    </row>
    <row r="425" spans="1:8" x14ac:dyDescent="0.3">
      <c r="A425" s="4" t="s">
        <v>2105</v>
      </c>
      <c r="B425" s="5">
        <v>44893</v>
      </c>
      <c r="C425" s="6" t="s">
        <v>278</v>
      </c>
      <c r="D425" s="6" t="s">
        <v>1961</v>
      </c>
      <c r="E425" s="6" t="s">
        <v>2503</v>
      </c>
      <c r="F425" s="6" t="s">
        <v>1208</v>
      </c>
      <c r="G425" s="7" t="str">
        <f>HYPERLINK("https://ovidsp.ovid.com/ovidweb.cgi?T=JS&amp;NEWS=n&amp;CSC=Y&amp;PAGE=booktext&amp;D=books&amp;SC=02024451&amp;EPUB=Y","https://ovidsp.ovid.com/ovidweb.cgi?T=JS&amp;NEWS=n&amp;CSC=Y&amp;PAGE=booktext&amp;D=books&amp;SC=02024451&amp;EPUB=Y")</f>
        <v>https://ovidsp.ovid.com/ovidweb.cgi?T=JS&amp;NEWS=n&amp;CSC=Y&amp;PAGE=booktext&amp;D=books&amp;SC=02024451&amp;EPUB=Y</v>
      </c>
      <c r="H425" s="8" t="s">
        <v>1795</v>
      </c>
    </row>
    <row r="426" spans="1:8" x14ac:dyDescent="0.3">
      <c r="A426" s="4" t="s">
        <v>65</v>
      </c>
      <c r="B426" s="5">
        <v>44893</v>
      </c>
      <c r="C426" s="6" t="s">
        <v>1735</v>
      </c>
      <c r="D426" s="6" t="s">
        <v>1420</v>
      </c>
      <c r="E426" s="6" t="s">
        <v>2503</v>
      </c>
      <c r="F426" s="6" t="s">
        <v>1208</v>
      </c>
      <c r="G426" s="7" t="str">
        <f>HYPERLINK("https://ovidsp.ovid.com/ovidweb.cgi?T=JS&amp;NEWS=n&amp;CSC=Y&amp;PAGE=booktext&amp;D=books&amp;SC=01434516&amp;EPUB=Y","https://ovidsp.ovid.com/ovidweb.cgi?T=JS&amp;NEWS=n&amp;CSC=Y&amp;PAGE=booktext&amp;D=books&amp;SC=01434516&amp;EPUB=Y")</f>
        <v>https://ovidsp.ovid.com/ovidweb.cgi?T=JS&amp;NEWS=n&amp;CSC=Y&amp;PAGE=booktext&amp;D=books&amp;SC=01434516&amp;EPUB=Y</v>
      </c>
      <c r="H426" s="8" t="s">
        <v>1795</v>
      </c>
    </row>
    <row r="427" spans="1:8" x14ac:dyDescent="0.3">
      <c r="A427" s="4" t="s">
        <v>56</v>
      </c>
      <c r="B427" s="5">
        <v>44893</v>
      </c>
      <c r="C427" s="6" t="s">
        <v>1525</v>
      </c>
      <c r="D427" s="6" t="s">
        <v>293</v>
      </c>
      <c r="E427" s="6" t="s">
        <v>2503</v>
      </c>
      <c r="F427" s="6" t="s">
        <v>1208</v>
      </c>
      <c r="G427" s="7" t="str">
        <f>HYPERLINK("https://ovidsp.ovid.com/ovidweb.cgi?T=JS&amp;NEWS=n&amp;CSC=Y&amp;PAGE=booktext&amp;D=books&amp;SC=01434381&amp;EPUB=Y","https://ovidsp.ovid.com/ovidweb.cgi?T=JS&amp;NEWS=n&amp;CSC=Y&amp;PAGE=booktext&amp;D=books&amp;SC=01434381&amp;EPUB=Y")</f>
        <v>https://ovidsp.ovid.com/ovidweb.cgi?T=JS&amp;NEWS=n&amp;CSC=Y&amp;PAGE=booktext&amp;D=books&amp;SC=01434381&amp;EPUB=Y</v>
      </c>
      <c r="H427" s="8" t="s">
        <v>1795</v>
      </c>
    </row>
    <row r="428" spans="1:8" x14ac:dyDescent="0.3">
      <c r="A428" s="4" t="s">
        <v>1480</v>
      </c>
      <c r="B428" s="5">
        <v>44893</v>
      </c>
      <c r="C428" s="6" t="s">
        <v>200</v>
      </c>
      <c r="D428" s="6" t="s">
        <v>2225</v>
      </c>
      <c r="E428" s="6" t="s">
        <v>2503</v>
      </c>
      <c r="F428" s="6" t="s">
        <v>1208</v>
      </c>
      <c r="G428" s="7" t="str">
        <f>HYPERLINK("https://ovidsp.ovid.com/ovidweb.cgi?T=JS&amp;NEWS=n&amp;CSC=Y&amp;PAGE=booktext&amp;D=books&amp;SC=01434588&amp;EPUB=Y","https://ovidsp.ovid.com/ovidweb.cgi?T=JS&amp;NEWS=n&amp;CSC=Y&amp;PAGE=booktext&amp;D=books&amp;SC=01434588&amp;EPUB=Y")</f>
        <v>https://ovidsp.ovid.com/ovidweb.cgi?T=JS&amp;NEWS=n&amp;CSC=Y&amp;PAGE=booktext&amp;D=books&amp;SC=01434588&amp;EPUB=Y</v>
      </c>
      <c r="H428" s="8" t="s">
        <v>1795</v>
      </c>
    </row>
    <row r="429" spans="1:8" x14ac:dyDescent="0.3">
      <c r="A429" s="4" t="s">
        <v>42</v>
      </c>
      <c r="B429" s="5">
        <v>44893</v>
      </c>
      <c r="C429" s="6" t="s">
        <v>2405</v>
      </c>
      <c r="D429" s="6" t="s">
        <v>1409</v>
      </c>
      <c r="E429" s="6" t="s">
        <v>2503</v>
      </c>
      <c r="F429" s="6" t="s">
        <v>1208</v>
      </c>
      <c r="G429" s="7" t="str">
        <f>HYPERLINK("https://ovidsp.ovid.com/ovidweb.cgi?T=JS&amp;NEWS=n&amp;CSC=Y&amp;PAGE=booktext&amp;D=books&amp;SC=01434553&amp;EPUB=Y","https://ovidsp.ovid.com/ovidweb.cgi?T=JS&amp;NEWS=n&amp;CSC=Y&amp;PAGE=booktext&amp;D=books&amp;SC=01434553&amp;EPUB=Y")</f>
        <v>https://ovidsp.ovid.com/ovidweb.cgi?T=JS&amp;NEWS=n&amp;CSC=Y&amp;PAGE=booktext&amp;D=books&amp;SC=01434553&amp;EPUB=Y</v>
      </c>
      <c r="H429" s="8" t="s">
        <v>1795</v>
      </c>
    </row>
    <row r="430" spans="1:8" x14ac:dyDescent="0.3">
      <c r="A430" s="4" t="s">
        <v>2228</v>
      </c>
      <c r="B430" s="5">
        <v>44893</v>
      </c>
      <c r="C430" s="6" t="s">
        <v>956</v>
      </c>
      <c r="D430" s="6" t="s">
        <v>1475</v>
      </c>
      <c r="E430" s="6" t="s">
        <v>2503</v>
      </c>
      <c r="F430" s="6" t="s">
        <v>1208</v>
      </c>
      <c r="G430" s="7" t="str">
        <f>HYPERLINK("https://ovidsp.ovid.com/ovidweb.cgi?T=JS&amp;NEWS=n&amp;CSC=Y&amp;PAGE=booktext&amp;D=books&amp;SC=02158079&amp;EPUB=Y","https://ovidsp.ovid.com/ovidweb.cgi?T=JS&amp;NEWS=n&amp;CSC=Y&amp;PAGE=booktext&amp;D=books&amp;SC=02158079&amp;EPUB=Y")</f>
        <v>https://ovidsp.ovid.com/ovidweb.cgi?T=JS&amp;NEWS=n&amp;CSC=Y&amp;PAGE=booktext&amp;D=books&amp;SC=02158079&amp;EPUB=Y</v>
      </c>
      <c r="H430" s="8" t="s">
        <v>1795</v>
      </c>
    </row>
    <row r="431" spans="1:8" x14ac:dyDescent="0.3">
      <c r="A431" s="4" t="s">
        <v>566</v>
      </c>
      <c r="B431" s="5">
        <v>44893</v>
      </c>
      <c r="C431" s="6" t="s">
        <v>1492</v>
      </c>
      <c r="D431" s="6" t="s">
        <v>1120</v>
      </c>
      <c r="E431" s="6" t="s">
        <v>2503</v>
      </c>
      <c r="F431" s="6" t="s">
        <v>1208</v>
      </c>
      <c r="G431" s="7" t="str">
        <f>HYPERLINK("https://ovidsp.ovid.com/ovidweb.cgi?T=JS&amp;NEWS=n&amp;CSC=Y&amp;PAGE=booktext&amp;D=books&amp;SC=02107293&amp;EPUB=Y","https://ovidsp.ovid.com/ovidweb.cgi?T=JS&amp;NEWS=n&amp;CSC=Y&amp;PAGE=booktext&amp;D=books&amp;SC=02107293&amp;EPUB=Y")</f>
        <v>https://ovidsp.ovid.com/ovidweb.cgi?T=JS&amp;NEWS=n&amp;CSC=Y&amp;PAGE=booktext&amp;D=books&amp;SC=02107293&amp;EPUB=Y</v>
      </c>
      <c r="H431" s="8" t="s">
        <v>1795</v>
      </c>
    </row>
    <row r="432" spans="1:8" x14ac:dyDescent="0.3">
      <c r="A432" s="4" t="s">
        <v>1856</v>
      </c>
      <c r="B432" s="5">
        <v>44893</v>
      </c>
      <c r="C432" s="6" t="s">
        <v>2576</v>
      </c>
      <c r="D432" s="6" t="s">
        <v>1935</v>
      </c>
      <c r="E432" s="6" t="s">
        <v>2503</v>
      </c>
      <c r="F432" s="6" t="s">
        <v>1208</v>
      </c>
      <c r="G432" s="7" t="str">
        <f>HYPERLINK("https://ovidsp.ovid.com/ovidweb.cgi?T=JS&amp;NEWS=n&amp;CSC=Y&amp;PAGE=booktext&amp;D=books&amp;SC=01626545&amp;EPUB=Y","https://ovidsp.ovid.com/ovidweb.cgi?T=JS&amp;NEWS=n&amp;CSC=Y&amp;PAGE=booktext&amp;D=books&amp;SC=01626545&amp;EPUB=Y")</f>
        <v>https://ovidsp.ovid.com/ovidweb.cgi?T=JS&amp;NEWS=n&amp;CSC=Y&amp;PAGE=booktext&amp;D=books&amp;SC=01626545&amp;EPUB=Y</v>
      </c>
      <c r="H432" s="8" t="s">
        <v>1795</v>
      </c>
    </row>
    <row r="433" spans="1:8" x14ac:dyDescent="0.3">
      <c r="A433" s="4" t="s">
        <v>1353</v>
      </c>
      <c r="B433" s="5">
        <v>44893</v>
      </c>
      <c r="C433" s="6" t="s">
        <v>1893</v>
      </c>
      <c r="D433" s="6" t="s">
        <v>1572</v>
      </c>
      <c r="E433" s="6" t="s">
        <v>2503</v>
      </c>
      <c r="F433" s="6" t="s">
        <v>1208</v>
      </c>
      <c r="G433" s="7" t="str">
        <f>HYPERLINK("https://ovidsp.ovid.com/ovidweb.cgi?T=JS&amp;NEWS=n&amp;CSC=Y&amp;PAGE=booktext&amp;D=books&amp;SC=02181742&amp;EPUB=Y","https://ovidsp.ovid.com/ovidweb.cgi?T=JS&amp;NEWS=n&amp;CSC=Y&amp;PAGE=booktext&amp;D=books&amp;SC=02181742&amp;EPUB=Y")</f>
        <v>https://ovidsp.ovid.com/ovidweb.cgi?T=JS&amp;NEWS=n&amp;CSC=Y&amp;PAGE=booktext&amp;D=books&amp;SC=02181742&amp;EPUB=Y</v>
      </c>
      <c r="H433" s="8" t="s">
        <v>1795</v>
      </c>
    </row>
    <row r="434" spans="1:8" x14ac:dyDescent="0.3">
      <c r="A434" s="4" t="s">
        <v>2064</v>
      </c>
      <c r="B434" s="5">
        <v>44893</v>
      </c>
      <c r="C434" s="6" t="s">
        <v>2367</v>
      </c>
      <c r="D434" s="6" t="s">
        <v>1643</v>
      </c>
      <c r="E434" s="6" t="s">
        <v>2503</v>
      </c>
      <c r="F434" s="6" t="s">
        <v>1208</v>
      </c>
      <c r="G434" s="7" t="str">
        <f>HYPERLINK("https://ovidsp.ovid.com/ovidweb.cgi?T=JS&amp;NEWS=n&amp;CSC=Y&amp;PAGE=booktext&amp;D=books&amp;SC=01434505&amp;EPUB=Y","https://ovidsp.ovid.com/ovidweb.cgi?T=JS&amp;NEWS=n&amp;CSC=Y&amp;PAGE=booktext&amp;D=books&amp;SC=01434505&amp;EPUB=Y")</f>
        <v>https://ovidsp.ovid.com/ovidweb.cgi?T=JS&amp;NEWS=n&amp;CSC=Y&amp;PAGE=booktext&amp;D=books&amp;SC=01434505&amp;EPUB=Y</v>
      </c>
      <c r="H434" s="8" t="s">
        <v>1795</v>
      </c>
    </row>
    <row r="435" spans="1:8" x14ac:dyDescent="0.3">
      <c r="A435" s="4" t="s">
        <v>2103</v>
      </c>
      <c r="B435" s="5">
        <v>44893</v>
      </c>
      <c r="C435" s="6" t="s">
        <v>2367</v>
      </c>
      <c r="D435" s="6" t="s">
        <v>1643</v>
      </c>
      <c r="E435" s="6" t="s">
        <v>2503</v>
      </c>
      <c r="F435" s="6" t="s">
        <v>1208</v>
      </c>
      <c r="G435" s="7" t="str">
        <f>HYPERLINK("https://ovidsp.ovid.com/ovidweb.cgi?T=JS&amp;NEWS=n&amp;CSC=Y&amp;PAGE=booktext&amp;D=books&amp;SC=01434391&amp;EPUB=Y","https://ovidsp.ovid.com/ovidweb.cgi?T=JS&amp;NEWS=n&amp;CSC=Y&amp;PAGE=booktext&amp;D=books&amp;SC=01434391&amp;EPUB=Y")</f>
        <v>https://ovidsp.ovid.com/ovidweb.cgi?T=JS&amp;NEWS=n&amp;CSC=Y&amp;PAGE=booktext&amp;D=books&amp;SC=01434391&amp;EPUB=Y</v>
      </c>
      <c r="H435" s="8" t="s">
        <v>1795</v>
      </c>
    </row>
    <row r="436" spans="1:8" x14ac:dyDescent="0.3">
      <c r="A436" s="4" t="s">
        <v>729</v>
      </c>
      <c r="B436" s="5">
        <v>44893</v>
      </c>
      <c r="C436" s="6" t="s">
        <v>1796</v>
      </c>
      <c r="D436" s="6" t="s">
        <v>1481</v>
      </c>
      <c r="E436" s="6" t="s">
        <v>2503</v>
      </c>
      <c r="F436" s="6" t="s">
        <v>241</v>
      </c>
      <c r="G436" s="7" t="str">
        <f>HYPERLINK("https://ovidsp.ovid.com/ovidweb.cgi?T=JS&amp;NEWS=n&amp;CSC=Y&amp;PAGE=booktext&amp;D=books&amp;SC=02092012&amp;EPUB=Y","https://ovidsp.ovid.com/ovidweb.cgi?T=JS&amp;NEWS=n&amp;CSC=Y&amp;PAGE=booktext&amp;D=books&amp;SC=02092012&amp;EPUB=Y")</f>
        <v>https://ovidsp.ovid.com/ovidweb.cgi?T=JS&amp;NEWS=n&amp;CSC=Y&amp;PAGE=booktext&amp;D=books&amp;SC=02092012&amp;EPUB=Y</v>
      </c>
      <c r="H436" s="8" t="s">
        <v>1795</v>
      </c>
    </row>
    <row r="437" spans="1:8" x14ac:dyDescent="0.3">
      <c r="A437" s="4" t="s">
        <v>2345</v>
      </c>
      <c r="B437" s="5">
        <v>44893</v>
      </c>
      <c r="C437" s="6" t="s">
        <v>1249</v>
      </c>
      <c r="D437" s="6" t="s">
        <v>499</v>
      </c>
      <c r="E437" s="6" t="s">
        <v>2503</v>
      </c>
      <c r="F437" s="6" t="s">
        <v>1208</v>
      </c>
      <c r="G437" s="7" t="str">
        <f>HYPERLINK("https://ovidsp.ovid.com/ovidweb.cgi?T=JS&amp;NEWS=n&amp;CSC=Y&amp;PAGE=booktext&amp;D=books&amp;SC=01434837&amp;EPUB=Y","https://ovidsp.ovid.com/ovidweb.cgi?T=JS&amp;NEWS=n&amp;CSC=Y&amp;PAGE=booktext&amp;D=books&amp;SC=01434837&amp;EPUB=Y")</f>
        <v>https://ovidsp.ovid.com/ovidweb.cgi?T=JS&amp;NEWS=n&amp;CSC=Y&amp;PAGE=booktext&amp;D=books&amp;SC=01434837&amp;EPUB=Y</v>
      </c>
      <c r="H437" s="8" t="s">
        <v>1795</v>
      </c>
    </row>
    <row r="438" spans="1:8" x14ac:dyDescent="0.3">
      <c r="A438" s="4" t="s">
        <v>1315</v>
      </c>
      <c r="B438" s="5">
        <v>44893</v>
      </c>
      <c r="C438" s="6" t="s">
        <v>2367</v>
      </c>
      <c r="D438" s="6" t="s">
        <v>1643</v>
      </c>
      <c r="E438" s="6" t="s">
        <v>2503</v>
      </c>
      <c r="F438" s="6" t="s">
        <v>1208</v>
      </c>
      <c r="G438" s="7" t="str">
        <f>HYPERLINK("https://ovidsp.ovid.com/ovidweb.cgi?T=JS&amp;NEWS=n&amp;CSC=Y&amp;PAGE=booktext&amp;D=books&amp;SC=01434261&amp;EPUB=Y","https://ovidsp.ovid.com/ovidweb.cgi?T=JS&amp;NEWS=n&amp;CSC=Y&amp;PAGE=booktext&amp;D=books&amp;SC=01434261&amp;EPUB=Y")</f>
        <v>https://ovidsp.ovid.com/ovidweb.cgi?T=JS&amp;NEWS=n&amp;CSC=Y&amp;PAGE=booktext&amp;D=books&amp;SC=01434261&amp;EPUB=Y</v>
      </c>
      <c r="H438" s="8" t="s">
        <v>1795</v>
      </c>
    </row>
    <row r="439" spans="1:8" x14ac:dyDescent="0.3">
      <c r="A439" s="4" t="s">
        <v>1366</v>
      </c>
      <c r="B439" s="5">
        <v>44893</v>
      </c>
      <c r="C439" s="6" t="s">
        <v>1880</v>
      </c>
      <c r="D439" s="6" t="s">
        <v>1884</v>
      </c>
      <c r="E439" s="6" t="s">
        <v>2503</v>
      </c>
      <c r="F439" s="6" t="s">
        <v>1208</v>
      </c>
      <c r="G439" s="7" t="str">
        <f>HYPERLINK("https://ovidsp.ovid.com/ovidweb.cgi?T=JS&amp;NEWS=n&amp;CSC=Y&amp;PAGE=booktext&amp;D=books&amp;SC=01607926&amp;EPUB=Y","https://ovidsp.ovid.com/ovidweb.cgi?T=JS&amp;NEWS=n&amp;CSC=Y&amp;PAGE=booktext&amp;D=books&amp;SC=01607926&amp;EPUB=Y")</f>
        <v>https://ovidsp.ovid.com/ovidweb.cgi?T=JS&amp;NEWS=n&amp;CSC=Y&amp;PAGE=booktext&amp;D=books&amp;SC=01607926&amp;EPUB=Y</v>
      </c>
      <c r="H439" s="8" t="s">
        <v>1795</v>
      </c>
    </row>
    <row r="440" spans="1:8" x14ac:dyDescent="0.3">
      <c r="A440" s="4" t="s">
        <v>784</v>
      </c>
      <c r="B440" s="5">
        <v>44893</v>
      </c>
      <c r="C440" s="6" t="s">
        <v>2367</v>
      </c>
      <c r="D440" s="6" t="s">
        <v>1643</v>
      </c>
      <c r="E440" s="6" t="s">
        <v>2503</v>
      </c>
      <c r="F440" s="6" t="s">
        <v>1208</v>
      </c>
      <c r="G440" s="7" t="str">
        <f>HYPERLINK("https://ovidsp.ovid.com/ovidweb.cgi?T=JS&amp;NEWS=n&amp;CSC=Y&amp;PAGE=booktext&amp;D=books&amp;SC=01434247&amp;EPUB=Y","https://ovidsp.ovid.com/ovidweb.cgi?T=JS&amp;NEWS=n&amp;CSC=Y&amp;PAGE=booktext&amp;D=books&amp;SC=01434247&amp;EPUB=Y")</f>
        <v>https://ovidsp.ovid.com/ovidweb.cgi?T=JS&amp;NEWS=n&amp;CSC=Y&amp;PAGE=booktext&amp;D=books&amp;SC=01434247&amp;EPUB=Y</v>
      </c>
      <c r="H440" s="8" t="s">
        <v>1795</v>
      </c>
    </row>
    <row r="441" spans="1:8" x14ac:dyDescent="0.3">
      <c r="A441" s="4" t="s">
        <v>710</v>
      </c>
      <c r="B441" s="5">
        <v>44893</v>
      </c>
      <c r="C441" s="6" t="s">
        <v>2570</v>
      </c>
      <c r="D441" s="6" t="s">
        <v>1114</v>
      </c>
      <c r="E441" s="6" t="s">
        <v>2503</v>
      </c>
      <c r="F441" s="6" t="s">
        <v>1208</v>
      </c>
      <c r="G441" s="7" t="str">
        <f>HYPERLINK("https://ovidsp.ovid.com/ovidweb.cgi?T=JS&amp;NEWS=n&amp;CSC=Y&amp;PAGE=booktext&amp;D=books&amp;SC=01787201&amp;EPUB=Y","https://ovidsp.ovid.com/ovidweb.cgi?T=JS&amp;NEWS=n&amp;CSC=Y&amp;PAGE=booktext&amp;D=books&amp;SC=01787201&amp;EPUB=Y")</f>
        <v>https://ovidsp.ovid.com/ovidweb.cgi?T=JS&amp;NEWS=n&amp;CSC=Y&amp;PAGE=booktext&amp;D=books&amp;SC=01787201&amp;EPUB=Y</v>
      </c>
      <c r="H441" s="8" t="s">
        <v>1795</v>
      </c>
    </row>
    <row r="442" spans="1:8" x14ac:dyDescent="0.3">
      <c r="A442" s="4" t="s">
        <v>1762</v>
      </c>
      <c r="B442" s="5">
        <v>44893</v>
      </c>
      <c r="C442" s="6" t="s">
        <v>1172</v>
      </c>
      <c r="D442" s="6" t="s">
        <v>480</v>
      </c>
      <c r="E442" s="6" t="s">
        <v>2503</v>
      </c>
      <c r="F442" s="6" t="s">
        <v>1208</v>
      </c>
      <c r="G442" s="7" t="str">
        <f>HYPERLINK("https://ovidsp.ovid.com/ovidweb.cgi?T=JS&amp;NEWS=n&amp;CSC=Y&amp;PAGE=booktext&amp;D=books&amp;SC=01434569&amp;EPUB=Y","https://ovidsp.ovid.com/ovidweb.cgi?T=JS&amp;NEWS=n&amp;CSC=Y&amp;PAGE=booktext&amp;D=books&amp;SC=01434569&amp;EPUB=Y")</f>
        <v>https://ovidsp.ovid.com/ovidweb.cgi?T=JS&amp;NEWS=n&amp;CSC=Y&amp;PAGE=booktext&amp;D=books&amp;SC=01434569&amp;EPUB=Y</v>
      </c>
      <c r="H442" s="8" t="s">
        <v>1795</v>
      </c>
    </row>
    <row r="443" spans="1:8" x14ac:dyDescent="0.3">
      <c r="A443" s="4" t="s">
        <v>938</v>
      </c>
      <c r="B443" s="5">
        <v>44893</v>
      </c>
      <c r="C443" s="6" t="s">
        <v>1763</v>
      </c>
      <c r="D443" s="6" t="s">
        <v>1841</v>
      </c>
      <c r="E443" s="6" t="s">
        <v>2503</v>
      </c>
      <c r="F443" s="6" t="s">
        <v>241</v>
      </c>
      <c r="G443" s="7" t="str">
        <f>HYPERLINK("https://ovidsp.ovid.com/ovidweb.cgi?T=JS&amp;NEWS=n&amp;CSC=Y&amp;PAGE=booktext&amp;D=books&amp;SC=01720297&amp;EPUB=Y","https://ovidsp.ovid.com/ovidweb.cgi?T=JS&amp;NEWS=n&amp;CSC=Y&amp;PAGE=booktext&amp;D=books&amp;SC=01720297&amp;EPUB=Y")</f>
        <v>https://ovidsp.ovid.com/ovidweb.cgi?T=JS&amp;NEWS=n&amp;CSC=Y&amp;PAGE=booktext&amp;D=books&amp;SC=01720297&amp;EPUB=Y</v>
      </c>
      <c r="H443" s="8" t="s">
        <v>1795</v>
      </c>
    </row>
    <row r="444" spans="1:8" x14ac:dyDescent="0.3">
      <c r="A444" s="4" t="s">
        <v>1542</v>
      </c>
      <c r="B444" s="5">
        <v>44893</v>
      </c>
      <c r="C444" s="6" t="s">
        <v>1396</v>
      </c>
      <c r="D444" s="6" t="s">
        <v>1871</v>
      </c>
      <c r="E444" s="6" t="s">
        <v>2503</v>
      </c>
      <c r="F444" s="6" t="s">
        <v>1208</v>
      </c>
      <c r="G444" s="7" t="str">
        <f>HYPERLINK("https://ovidsp.ovid.com/ovidweb.cgi?T=JS&amp;NEWS=n&amp;CSC=Y&amp;PAGE=booktext&amp;D=books&amp;SC=01434506&amp;EPUB=Y","https://ovidsp.ovid.com/ovidweb.cgi?T=JS&amp;NEWS=n&amp;CSC=Y&amp;PAGE=booktext&amp;D=books&amp;SC=01434506&amp;EPUB=Y")</f>
        <v>https://ovidsp.ovid.com/ovidweb.cgi?T=JS&amp;NEWS=n&amp;CSC=Y&amp;PAGE=booktext&amp;D=books&amp;SC=01434506&amp;EPUB=Y</v>
      </c>
      <c r="H444" s="8" t="s">
        <v>1795</v>
      </c>
    </row>
    <row r="445" spans="1:8" x14ac:dyDescent="0.3">
      <c r="A445" s="4" t="s">
        <v>2032</v>
      </c>
      <c r="B445" s="5">
        <v>44893</v>
      </c>
      <c r="C445" s="6" t="s">
        <v>2367</v>
      </c>
      <c r="D445" s="6" t="s">
        <v>1643</v>
      </c>
      <c r="E445" s="6" t="s">
        <v>2503</v>
      </c>
      <c r="F445" s="6" t="s">
        <v>241</v>
      </c>
      <c r="G445" s="7" t="str">
        <f>HYPERLINK("https://ovidsp.ovid.com/ovidweb.cgi?T=JS&amp;NEWS=n&amp;CSC=Y&amp;PAGE=booktext&amp;D=books&amp;SC=01434347&amp;EPUB=Y","https://ovidsp.ovid.com/ovidweb.cgi?T=JS&amp;NEWS=n&amp;CSC=Y&amp;PAGE=booktext&amp;D=books&amp;SC=01434347&amp;EPUB=Y")</f>
        <v>https://ovidsp.ovid.com/ovidweb.cgi?T=JS&amp;NEWS=n&amp;CSC=Y&amp;PAGE=booktext&amp;D=books&amp;SC=01434347&amp;EPUB=Y</v>
      </c>
      <c r="H445" s="8" t="s">
        <v>1795</v>
      </c>
    </row>
    <row r="446" spans="1:8" x14ac:dyDescent="0.3">
      <c r="A446" s="4" t="s">
        <v>1902</v>
      </c>
      <c r="B446" s="5">
        <v>44893</v>
      </c>
      <c r="C446" s="6" t="s">
        <v>2131</v>
      </c>
      <c r="D446" s="6" t="s">
        <v>2407</v>
      </c>
      <c r="E446" s="6" t="s">
        <v>2503</v>
      </c>
      <c r="F446" s="6" t="s">
        <v>1208</v>
      </c>
      <c r="G446" s="7" t="str">
        <f>HYPERLINK("https://ovidsp.ovid.com/ovidweb.cgi?T=JS&amp;NEWS=n&amp;CSC=Y&amp;PAGE=booktext&amp;D=books&amp;SC=02260703&amp;EPUB=Y","https://ovidsp.ovid.com/ovidweb.cgi?T=JS&amp;NEWS=n&amp;CSC=Y&amp;PAGE=booktext&amp;D=books&amp;SC=02260703&amp;EPUB=Y")</f>
        <v>https://ovidsp.ovid.com/ovidweb.cgi?T=JS&amp;NEWS=n&amp;CSC=Y&amp;PAGE=booktext&amp;D=books&amp;SC=02260703&amp;EPUB=Y</v>
      </c>
      <c r="H446" s="8" t="s">
        <v>1795</v>
      </c>
    </row>
    <row r="447" spans="1:8" x14ac:dyDescent="0.3">
      <c r="A447" s="4" t="s">
        <v>1597</v>
      </c>
      <c r="B447" s="5">
        <v>44893</v>
      </c>
      <c r="C447" s="6" t="s">
        <v>2083</v>
      </c>
      <c r="D447" s="6" t="s">
        <v>1105</v>
      </c>
      <c r="E447" s="6" t="s">
        <v>2503</v>
      </c>
      <c r="F447" s="6" t="s">
        <v>1208</v>
      </c>
      <c r="G447" s="7" t="str">
        <f>HYPERLINK("https://ovidsp.ovid.com/ovidweb.cgi?T=JS&amp;NEWS=n&amp;CSC=Y&amp;PAGE=booktext&amp;D=books&amp;SC=02134351&amp;EPUB=Y","https://ovidsp.ovid.com/ovidweb.cgi?T=JS&amp;NEWS=n&amp;CSC=Y&amp;PAGE=booktext&amp;D=books&amp;SC=02134351&amp;EPUB=Y")</f>
        <v>https://ovidsp.ovid.com/ovidweb.cgi?T=JS&amp;NEWS=n&amp;CSC=Y&amp;PAGE=booktext&amp;D=books&amp;SC=02134351&amp;EPUB=Y</v>
      </c>
      <c r="H447" s="8" t="s">
        <v>1795</v>
      </c>
    </row>
    <row r="448" spans="1:8" x14ac:dyDescent="0.3">
      <c r="A448" s="4" t="s">
        <v>16</v>
      </c>
      <c r="B448" s="5">
        <v>44893</v>
      </c>
      <c r="C448" s="6" t="s">
        <v>1073</v>
      </c>
      <c r="D448" s="6" t="s">
        <v>2138</v>
      </c>
      <c r="E448" s="6" t="s">
        <v>2503</v>
      </c>
      <c r="F448" s="6" t="s">
        <v>878</v>
      </c>
      <c r="G448" s="7" t="str">
        <f>HYPERLINK("https://ovidsp.ovid.com/ovidweb.cgi?T=JS&amp;NEWS=n&amp;CSC=Y&amp;PAGE=booktext&amp;D=books&amp;SC=01647960&amp;EPUB=Y","https://ovidsp.ovid.com/ovidweb.cgi?T=JS&amp;NEWS=n&amp;CSC=Y&amp;PAGE=booktext&amp;D=books&amp;SC=01647960&amp;EPUB=Y")</f>
        <v>https://ovidsp.ovid.com/ovidweb.cgi?T=JS&amp;NEWS=n&amp;CSC=Y&amp;PAGE=booktext&amp;D=books&amp;SC=01647960&amp;EPUB=Y</v>
      </c>
      <c r="H448" s="8" t="s">
        <v>1795</v>
      </c>
    </row>
    <row r="449" spans="1:8" x14ac:dyDescent="0.3">
      <c r="A449" s="4" t="s">
        <v>1616</v>
      </c>
      <c r="B449" s="5">
        <v>44893</v>
      </c>
      <c r="C449" s="6" t="s">
        <v>2297</v>
      </c>
      <c r="D449" s="6" t="s">
        <v>1027</v>
      </c>
      <c r="E449" s="6" t="s">
        <v>2503</v>
      </c>
      <c r="F449" s="6" t="s">
        <v>1208</v>
      </c>
      <c r="G449" s="7" t="str">
        <f>HYPERLINK("https://ovidsp.ovid.com/ovidweb.cgi?T=JS&amp;NEWS=n&amp;CSC=Y&amp;PAGE=booktext&amp;D=books&amp;SC=01960903&amp;EPUB=Y","https://ovidsp.ovid.com/ovidweb.cgi?T=JS&amp;NEWS=n&amp;CSC=Y&amp;PAGE=booktext&amp;D=books&amp;SC=01960903&amp;EPUB=Y")</f>
        <v>https://ovidsp.ovid.com/ovidweb.cgi?T=JS&amp;NEWS=n&amp;CSC=Y&amp;PAGE=booktext&amp;D=books&amp;SC=01960903&amp;EPUB=Y</v>
      </c>
      <c r="H449" s="8" t="s">
        <v>1795</v>
      </c>
    </row>
    <row r="450" spans="1:8" x14ac:dyDescent="0.3">
      <c r="A450" s="4" t="s">
        <v>2505</v>
      </c>
      <c r="B450" s="5">
        <v>44893</v>
      </c>
      <c r="C450" s="6" t="s">
        <v>2338</v>
      </c>
      <c r="D450" s="6" t="s">
        <v>1549</v>
      </c>
      <c r="E450" s="6" t="s">
        <v>2503</v>
      </c>
      <c r="F450" s="6" t="s">
        <v>1208</v>
      </c>
      <c r="G450" s="7" t="str">
        <f>HYPERLINK("https://ovidsp.ovid.com/ovidweb.cgi?T=JS&amp;NEWS=n&amp;CSC=Y&amp;PAGE=booktext&amp;D=books&amp;SC=01990613&amp;EPUB=Y","https://ovidsp.ovid.com/ovidweb.cgi?T=JS&amp;NEWS=n&amp;CSC=Y&amp;PAGE=booktext&amp;D=books&amp;SC=01990613&amp;EPUB=Y")</f>
        <v>https://ovidsp.ovid.com/ovidweb.cgi?T=JS&amp;NEWS=n&amp;CSC=Y&amp;PAGE=booktext&amp;D=books&amp;SC=01990613&amp;EPUB=Y</v>
      </c>
      <c r="H450" s="8" t="s">
        <v>1795</v>
      </c>
    </row>
    <row r="451" spans="1:8" x14ac:dyDescent="0.3">
      <c r="A451" s="4" t="s">
        <v>420</v>
      </c>
      <c r="B451" s="5">
        <v>44893</v>
      </c>
      <c r="C451" s="6" t="s">
        <v>1138</v>
      </c>
      <c r="D451" s="6" t="s">
        <v>1931</v>
      </c>
      <c r="E451" s="6" t="s">
        <v>2503</v>
      </c>
      <c r="F451" s="6" t="s">
        <v>1208</v>
      </c>
      <c r="G451" s="7" t="str">
        <f>HYPERLINK("https://ovidsp.ovid.com/ovidweb.cgi?T=JS&amp;NEWS=n&amp;CSC=Y&amp;PAGE=booktext&amp;D=books&amp;SC=02060383&amp;EPUB=Y","https://ovidsp.ovid.com/ovidweb.cgi?T=JS&amp;NEWS=n&amp;CSC=Y&amp;PAGE=booktext&amp;D=books&amp;SC=02060383&amp;EPUB=Y")</f>
        <v>https://ovidsp.ovid.com/ovidweb.cgi?T=JS&amp;NEWS=n&amp;CSC=Y&amp;PAGE=booktext&amp;D=books&amp;SC=02060383&amp;EPUB=Y</v>
      </c>
      <c r="H451" s="8" t="s">
        <v>1795</v>
      </c>
    </row>
    <row r="452" spans="1:8" x14ac:dyDescent="0.3">
      <c r="A452" s="4" t="s">
        <v>473</v>
      </c>
      <c r="B452" s="5">
        <v>44893</v>
      </c>
      <c r="C452" s="6" t="s">
        <v>1057</v>
      </c>
      <c r="D452" s="6" t="s">
        <v>1593</v>
      </c>
      <c r="E452" s="6" t="s">
        <v>2503</v>
      </c>
      <c r="F452" s="6" t="s">
        <v>1208</v>
      </c>
      <c r="G452" s="7" t="str">
        <f>HYPERLINK("https://ovidsp.ovid.com/ovidweb.cgi?T=JS&amp;NEWS=n&amp;CSC=Y&amp;PAGE=booktext&amp;D=books&amp;SC=01974526&amp;EPUB=Y","https://ovidsp.ovid.com/ovidweb.cgi?T=JS&amp;NEWS=n&amp;CSC=Y&amp;PAGE=booktext&amp;D=books&amp;SC=01974526&amp;EPUB=Y")</f>
        <v>https://ovidsp.ovid.com/ovidweb.cgi?T=JS&amp;NEWS=n&amp;CSC=Y&amp;PAGE=booktext&amp;D=books&amp;SC=01974526&amp;EPUB=Y</v>
      </c>
      <c r="H452" s="8" t="s">
        <v>1795</v>
      </c>
    </row>
    <row r="453" spans="1:8" x14ac:dyDescent="0.3">
      <c r="A453" s="4" t="s">
        <v>2584</v>
      </c>
      <c r="B453" s="5">
        <v>44893</v>
      </c>
      <c r="C453" s="6" t="s">
        <v>2370</v>
      </c>
      <c r="D453" s="6" t="s">
        <v>1179</v>
      </c>
      <c r="E453" s="6" t="s">
        <v>2503</v>
      </c>
      <c r="F453" s="6" t="s">
        <v>1208</v>
      </c>
      <c r="G453" s="7" t="str">
        <f>HYPERLINK("https://ovidsp.ovid.com/ovidweb.cgi?T=JS&amp;NEWS=n&amp;CSC=Y&amp;PAGE=booktext&amp;D=books&amp;SC=02260724&amp;EPUB=Y","https://ovidsp.ovid.com/ovidweb.cgi?T=JS&amp;NEWS=n&amp;CSC=Y&amp;PAGE=booktext&amp;D=books&amp;SC=02260724&amp;EPUB=Y")</f>
        <v>https://ovidsp.ovid.com/ovidweb.cgi?T=JS&amp;NEWS=n&amp;CSC=Y&amp;PAGE=booktext&amp;D=books&amp;SC=02260724&amp;EPUB=Y</v>
      </c>
      <c r="H453" s="8" t="s">
        <v>1795</v>
      </c>
    </row>
    <row r="454" spans="1:8" x14ac:dyDescent="0.3">
      <c r="A454" s="4" t="s">
        <v>1228</v>
      </c>
      <c r="B454" s="5">
        <v>44893</v>
      </c>
      <c r="C454" s="6" t="s">
        <v>335</v>
      </c>
      <c r="D454" s="6" t="s">
        <v>1461</v>
      </c>
      <c r="E454" s="6" t="s">
        <v>2503</v>
      </c>
      <c r="F454" s="6" t="s">
        <v>1208</v>
      </c>
      <c r="G454" s="7" t="str">
        <f>HYPERLINK("https://ovidsp.ovid.com/ovidweb.cgi?T=JS&amp;NEWS=n&amp;CSC=Y&amp;PAGE=booktext&amp;D=books&amp;SC=02050054&amp;EPUB=Y","https://ovidsp.ovid.com/ovidweb.cgi?T=JS&amp;NEWS=n&amp;CSC=Y&amp;PAGE=booktext&amp;D=books&amp;SC=02050054&amp;EPUB=Y")</f>
        <v>https://ovidsp.ovid.com/ovidweb.cgi?T=JS&amp;NEWS=n&amp;CSC=Y&amp;PAGE=booktext&amp;D=books&amp;SC=02050054&amp;EPUB=Y</v>
      </c>
      <c r="H454" s="8" t="s">
        <v>1795</v>
      </c>
    </row>
    <row r="455" spans="1:8" x14ac:dyDescent="0.3">
      <c r="A455" s="4" t="s">
        <v>2259</v>
      </c>
      <c r="B455" s="5">
        <v>44893</v>
      </c>
      <c r="C455" s="6" t="s">
        <v>1023</v>
      </c>
      <c r="D455" s="6" t="s">
        <v>2270</v>
      </c>
      <c r="E455" s="6" t="s">
        <v>2503</v>
      </c>
      <c r="F455" s="6" t="s">
        <v>1208</v>
      </c>
      <c r="G455" s="7" t="str">
        <f>HYPERLINK("https://ovidsp.ovid.com/ovidweb.cgi?T=JS&amp;NEWS=n&amp;CSC=Y&amp;PAGE=booktext&amp;D=books&amp;SC=01434634&amp;EPUB=Y","https://ovidsp.ovid.com/ovidweb.cgi?T=JS&amp;NEWS=n&amp;CSC=Y&amp;PAGE=booktext&amp;D=books&amp;SC=01434634&amp;EPUB=Y")</f>
        <v>https://ovidsp.ovid.com/ovidweb.cgi?T=JS&amp;NEWS=n&amp;CSC=Y&amp;PAGE=booktext&amp;D=books&amp;SC=01434634&amp;EPUB=Y</v>
      </c>
      <c r="H455" s="8" t="s">
        <v>1795</v>
      </c>
    </row>
    <row r="456" spans="1:8" x14ac:dyDescent="0.3">
      <c r="A456" s="4" t="s">
        <v>1320</v>
      </c>
      <c r="B456" s="5">
        <v>44893</v>
      </c>
      <c r="C456" s="6" t="s">
        <v>405</v>
      </c>
      <c r="D456" s="6" t="s">
        <v>2246</v>
      </c>
      <c r="E456" s="6" t="s">
        <v>2503</v>
      </c>
      <c r="F456" s="6" t="s">
        <v>1208</v>
      </c>
      <c r="G456" s="7" t="str">
        <f>HYPERLINK("https://ovidsp.ovid.com/ovidweb.cgi?T=JS&amp;NEWS=n&amp;CSC=Y&amp;PAGE=booktext&amp;D=books&amp;SC=01984705&amp;EPUB=Y","https://ovidsp.ovid.com/ovidweb.cgi?T=JS&amp;NEWS=n&amp;CSC=Y&amp;PAGE=booktext&amp;D=books&amp;SC=01984705&amp;EPUB=Y")</f>
        <v>https://ovidsp.ovid.com/ovidweb.cgi?T=JS&amp;NEWS=n&amp;CSC=Y&amp;PAGE=booktext&amp;D=books&amp;SC=01984705&amp;EPUB=Y</v>
      </c>
      <c r="H456" s="8" t="s">
        <v>1795</v>
      </c>
    </row>
    <row r="457" spans="1:8" x14ac:dyDescent="0.3">
      <c r="A457" s="4" t="s">
        <v>388</v>
      </c>
      <c r="B457" s="5">
        <v>44893</v>
      </c>
      <c r="C457" s="6" t="s">
        <v>247</v>
      </c>
      <c r="D457" s="6" t="s">
        <v>643</v>
      </c>
      <c r="E457" s="6" t="s">
        <v>2503</v>
      </c>
      <c r="F457" s="6" t="s">
        <v>1208</v>
      </c>
      <c r="G457" s="7" t="str">
        <f>HYPERLINK("https://ovidsp.ovid.com/ovidweb.cgi?T=JS&amp;NEWS=n&amp;CSC=Y&amp;PAGE=booktext&amp;D=books&amp;SC=01607906&amp;EPUB=Y","https://ovidsp.ovid.com/ovidweb.cgi?T=JS&amp;NEWS=n&amp;CSC=Y&amp;PAGE=booktext&amp;D=books&amp;SC=01607906&amp;EPUB=Y")</f>
        <v>https://ovidsp.ovid.com/ovidweb.cgi?T=JS&amp;NEWS=n&amp;CSC=Y&amp;PAGE=booktext&amp;D=books&amp;SC=01607906&amp;EPUB=Y</v>
      </c>
      <c r="H457" s="8" t="s">
        <v>1795</v>
      </c>
    </row>
    <row r="458" spans="1:8" x14ac:dyDescent="0.3">
      <c r="A458" s="4" t="s">
        <v>1236</v>
      </c>
      <c r="B458" s="5">
        <v>44893</v>
      </c>
      <c r="C458" s="6" t="s">
        <v>2367</v>
      </c>
      <c r="D458" s="6" t="s">
        <v>1643</v>
      </c>
      <c r="E458" s="6" t="s">
        <v>2503</v>
      </c>
      <c r="F458" s="6" t="s">
        <v>1208</v>
      </c>
      <c r="G458" s="7" t="str">
        <f>HYPERLINK("https://ovidsp.ovid.com/ovidweb.cgi?T=JS&amp;NEWS=n&amp;CSC=Y&amp;PAGE=booktext&amp;D=books&amp;SC=01434343&amp;EPUB=Y","https://ovidsp.ovid.com/ovidweb.cgi?T=JS&amp;NEWS=n&amp;CSC=Y&amp;PAGE=booktext&amp;D=books&amp;SC=01434343&amp;EPUB=Y")</f>
        <v>https://ovidsp.ovid.com/ovidweb.cgi?T=JS&amp;NEWS=n&amp;CSC=Y&amp;PAGE=booktext&amp;D=books&amp;SC=01434343&amp;EPUB=Y</v>
      </c>
      <c r="H458" s="8" t="s">
        <v>1795</v>
      </c>
    </row>
    <row r="459" spans="1:8" x14ac:dyDescent="0.3">
      <c r="A459" s="4" t="s">
        <v>986</v>
      </c>
      <c r="B459" s="5">
        <v>44893</v>
      </c>
      <c r="C459" s="6" t="s">
        <v>280</v>
      </c>
      <c r="D459" s="6" t="s">
        <v>1575</v>
      </c>
      <c r="E459" s="6" t="s">
        <v>2503</v>
      </c>
      <c r="F459" s="6" t="s">
        <v>1208</v>
      </c>
      <c r="G459" s="7" t="str">
        <f>HYPERLINK("https://ovidsp.ovid.com/ovidweb.cgi?T=JS&amp;NEWS=n&amp;CSC=Y&amp;PAGE=booktext&amp;D=books&amp;SC=01434607&amp;EPUB=Y","https://ovidsp.ovid.com/ovidweb.cgi?T=JS&amp;NEWS=n&amp;CSC=Y&amp;PAGE=booktext&amp;D=books&amp;SC=01434607&amp;EPUB=Y")</f>
        <v>https://ovidsp.ovid.com/ovidweb.cgi?T=JS&amp;NEWS=n&amp;CSC=Y&amp;PAGE=booktext&amp;D=books&amp;SC=01434607&amp;EPUB=Y</v>
      </c>
      <c r="H459" s="8" t="s">
        <v>1795</v>
      </c>
    </row>
    <row r="460" spans="1:8" x14ac:dyDescent="0.3">
      <c r="A460" s="4" t="s">
        <v>466</v>
      </c>
      <c r="B460" s="5">
        <v>44893</v>
      </c>
      <c r="C460" s="6" t="s">
        <v>1049</v>
      </c>
      <c r="D460" s="6" t="s">
        <v>1747</v>
      </c>
      <c r="E460" s="6" t="s">
        <v>2503</v>
      </c>
      <c r="F460" s="6" t="s">
        <v>1208</v>
      </c>
      <c r="G460" s="7" t="str">
        <f>HYPERLINK("https://ovidsp.ovid.com/ovidweb.cgi?T=JS&amp;NEWS=n&amp;CSC=Y&amp;PAGE=booktext&amp;D=books&amp;SC=01437474&amp;EPUB=Y","https://ovidsp.ovid.com/ovidweb.cgi?T=JS&amp;NEWS=n&amp;CSC=Y&amp;PAGE=booktext&amp;D=books&amp;SC=01437474&amp;EPUB=Y")</f>
        <v>https://ovidsp.ovid.com/ovidweb.cgi?T=JS&amp;NEWS=n&amp;CSC=Y&amp;PAGE=booktext&amp;D=books&amp;SC=01437474&amp;EPUB=Y</v>
      </c>
      <c r="H460" s="8" t="s">
        <v>1795</v>
      </c>
    </row>
    <row r="461" spans="1:8" x14ac:dyDescent="0.3">
      <c r="A461" s="4" t="s">
        <v>1277</v>
      </c>
      <c r="B461" s="5">
        <v>44893</v>
      </c>
      <c r="C461" s="6" t="s">
        <v>838</v>
      </c>
      <c r="D461" s="6" t="s">
        <v>1757</v>
      </c>
      <c r="E461" s="6" t="s">
        <v>2503</v>
      </c>
      <c r="F461" s="6" t="s">
        <v>1208</v>
      </c>
      <c r="G461" s="7" t="str">
        <f>HYPERLINK("https://ovidsp.ovid.com/ovidweb.cgi?T=JS&amp;NEWS=n&amp;CSC=Y&amp;PAGE=booktext&amp;D=books&amp;SC=01781593&amp;EPUB=Y","https://ovidsp.ovid.com/ovidweb.cgi?T=JS&amp;NEWS=n&amp;CSC=Y&amp;PAGE=booktext&amp;D=books&amp;SC=01781593&amp;EPUB=Y")</f>
        <v>https://ovidsp.ovid.com/ovidweb.cgi?T=JS&amp;NEWS=n&amp;CSC=Y&amp;PAGE=booktext&amp;D=books&amp;SC=01781593&amp;EPUB=Y</v>
      </c>
      <c r="H461" s="8" t="s">
        <v>1795</v>
      </c>
    </row>
    <row r="462" spans="1:8" x14ac:dyDescent="0.3">
      <c r="A462" s="4" t="s">
        <v>1256</v>
      </c>
      <c r="B462" s="5">
        <v>44893</v>
      </c>
      <c r="C462" s="6" t="s">
        <v>2367</v>
      </c>
      <c r="D462" s="6" t="s">
        <v>1643</v>
      </c>
      <c r="E462" s="6" t="s">
        <v>2503</v>
      </c>
      <c r="F462" s="6" t="s">
        <v>1208</v>
      </c>
      <c r="G462" s="7" t="str">
        <f>HYPERLINK("https://ovidsp.ovid.com/ovidweb.cgi?T=JS&amp;NEWS=n&amp;CSC=Y&amp;PAGE=booktext&amp;D=books&amp;SC=01434246&amp;EPUB=Y","https://ovidsp.ovid.com/ovidweb.cgi?T=JS&amp;NEWS=n&amp;CSC=Y&amp;PAGE=booktext&amp;D=books&amp;SC=01434246&amp;EPUB=Y")</f>
        <v>https://ovidsp.ovid.com/ovidweb.cgi?T=JS&amp;NEWS=n&amp;CSC=Y&amp;PAGE=booktext&amp;D=books&amp;SC=01434246&amp;EPUB=Y</v>
      </c>
      <c r="H462" s="8" t="s">
        <v>1795</v>
      </c>
    </row>
    <row r="463" spans="1:8" x14ac:dyDescent="0.3">
      <c r="A463" s="4" t="s">
        <v>341</v>
      </c>
      <c r="B463" s="5">
        <v>44893</v>
      </c>
      <c r="C463" s="6" t="s">
        <v>1190</v>
      </c>
      <c r="D463" s="6" t="s">
        <v>1930</v>
      </c>
      <c r="E463" s="6" t="s">
        <v>2503</v>
      </c>
      <c r="F463" s="6" t="s">
        <v>1208</v>
      </c>
      <c r="G463" s="7" t="str">
        <f>HYPERLINK("https://ovidsp.ovid.com/ovidweb.cgi?T=JS&amp;NEWS=n&amp;CSC=Y&amp;PAGE=booktext&amp;D=books&amp;SC=01434631&amp;EPUB=Y","https://ovidsp.ovid.com/ovidweb.cgi?T=JS&amp;NEWS=n&amp;CSC=Y&amp;PAGE=booktext&amp;D=books&amp;SC=01434631&amp;EPUB=Y")</f>
        <v>https://ovidsp.ovid.com/ovidweb.cgi?T=JS&amp;NEWS=n&amp;CSC=Y&amp;PAGE=booktext&amp;D=books&amp;SC=01434631&amp;EPUB=Y</v>
      </c>
      <c r="H463" s="8" t="s">
        <v>1795</v>
      </c>
    </row>
    <row r="464" spans="1:8" x14ac:dyDescent="0.3">
      <c r="A464" s="4" t="s">
        <v>2116</v>
      </c>
      <c r="B464" s="5">
        <v>44893</v>
      </c>
      <c r="C464" s="6" t="s">
        <v>2468</v>
      </c>
      <c r="D464" s="6" t="s">
        <v>1889</v>
      </c>
      <c r="E464" s="6" t="s">
        <v>2503</v>
      </c>
      <c r="F464" s="6" t="s">
        <v>1208</v>
      </c>
      <c r="G464" s="7" t="str">
        <f>HYPERLINK("https://ovidsp.ovid.com/ovidweb.cgi?T=JS&amp;NEWS=n&amp;CSC=Y&amp;PAGE=booktext&amp;D=books&amp;SC=01960905&amp;EPUB=Y","https://ovidsp.ovid.com/ovidweb.cgi?T=JS&amp;NEWS=n&amp;CSC=Y&amp;PAGE=booktext&amp;D=books&amp;SC=01960905&amp;EPUB=Y")</f>
        <v>https://ovidsp.ovid.com/ovidweb.cgi?T=JS&amp;NEWS=n&amp;CSC=Y&amp;PAGE=booktext&amp;D=books&amp;SC=01960905&amp;EPUB=Y</v>
      </c>
      <c r="H464" s="8" t="s">
        <v>1795</v>
      </c>
    </row>
    <row r="465" spans="1:8" x14ac:dyDescent="0.3">
      <c r="A465" s="4" t="s">
        <v>1296</v>
      </c>
      <c r="B465" s="5">
        <v>44893</v>
      </c>
      <c r="C465" s="6" t="s">
        <v>30</v>
      </c>
      <c r="D465" s="6" t="s">
        <v>1695</v>
      </c>
      <c r="E465" s="6" t="s">
        <v>2503</v>
      </c>
      <c r="F465" s="6" t="s">
        <v>1208</v>
      </c>
      <c r="G465" s="7" t="str">
        <f>HYPERLINK("https://ovidsp.ovid.com/ovidweb.cgi?T=JS&amp;NEWS=n&amp;CSC=Y&amp;PAGE=booktext&amp;D=books&amp;SC=02163074&amp;EPUB=Y","https://ovidsp.ovid.com/ovidweb.cgi?T=JS&amp;NEWS=n&amp;CSC=Y&amp;PAGE=booktext&amp;D=books&amp;SC=02163074&amp;EPUB=Y")</f>
        <v>https://ovidsp.ovid.com/ovidweb.cgi?T=JS&amp;NEWS=n&amp;CSC=Y&amp;PAGE=booktext&amp;D=books&amp;SC=02163074&amp;EPUB=Y</v>
      </c>
      <c r="H465" s="8" t="s">
        <v>1795</v>
      </c>
    </row>
    <row r="466" spans="1:8" x14ac:dyDescent="0.3">
      <c r="A466" s="4" t="s">
        <v>1309</v>
      </c>
      <c r="B466" s="5">
        <v>44893</v>
      </c>
      <c r="C466" s="6" t="s">
        <v>1470</v>
      </c>
      <c r="D466" s="6" t="s">
        <v>1444</v>
      </c>
      <c r="E466" s="6" t="s">
        <v>2503</v>
      </c>
      <c r="F466" s="6" t="s">
        <v>1208</v>
      </c>
      <c r="G466" s="7" t="str">
        <f>HYPERLINK("https://ovidsp.ovid.com/ovidweb.cgi?T=JS&amp;NEWS=n&amp;CSC=Y&amp;PAGE=booktext&amp;D=books&amp;SC=02272815&amp;EPUB=Y","https://ovidsp.ovid.com/ovidweb.cgi?T=JS&amp;NEWS=n&amp;CSC=Y&amp;PAGE=booktext&amp;D=books&amp;SC=02272815&amp;EPUB=Y")</f>
        <v>https://ovidsp.ovid.com/ovidweb.cgi?T=JS&amp;NEWS=n&amp;CSC=Y&amp;PAGE=booktext&amp;D=books&amp;SC=02272815&amp;EPUB=Y</v>
      </c>
      <c r="H466" s="8" t="s">
        <v>1795</v>
      </c>
    </row>
    <row r="467" spans="1:8" x14ac:dyDescent="0.3">
      <c r="A467" s="4" t="s">
        <v>721</v>
      </c>
      <c r="B467" s="5">
        <v>44893</v>
      </c>
      <c r="C467" s="6" t="s">
        <v>272</v>
      </c>
      <c r="D467" s="6" t="s">
        <v>1265</v>
      </c>
      <c r="E467" s="6" t="s">
        <v>2503</v>
      </c>
      <c r="F467" s="6" t="s">
        <v>1208</v>
      </c>
      <c r="G467" s="7" t="str">
        <f>HYPERLINK("https://ovidsp.ovid.com/ovidweb.cgi?T=JS&amp;NEWS=n&amp;CSC=Y&amp;PAGE=booktext&amp;D=books&amp;SC=01436951&amp;EPUB=Y","https://ovidsp.ovid.com/ovidweb.cgi?T=JS&amp;NEWS=n&amp;CSC=Y&amp;PAGE=booktext&amp;D=books&amp;SC=01436951&amp;EPUB=Y")</f>
        <v>https://ovidsp.ovid.com/ovidweb.cgi?T=JS&amp;NEWS=n&amp;CSC=Y&amp;PAGE=booktext&amp;D=books&amp;SC=01436951&amp;EPUB=Y</v>
      </c>
      <c r="H467" s="8" t="s">
        <v>1795</v>
      </c>
    </row>
    <row r="468" spans="1:8" x14ac:dyDescent="0.3">
      <c r="A468" s="4" t="s">
        <v>2440</v>
      </c>
      <c r="B468" s="5">
        <v>44893</v>
      </c>
      <c r="C468" s="6" t="s">
        <v>1034</v>
      </c>
      <c r="D468" s="6" t="s">
        <v>295</v>
      </c>
      <c r="E468" s="6" t="s">
        <v>2503</v>
      </c>
      <c r="F468" s="6" t="s">
        <v>1208</v>
      </c>
      <c r="G468" s="7" t="str">
        <f>HYPERLINK("https://ovidsp.ovid.com/ovidweb.cgi?T=JS&amp;NEWS=n&amp;CSC=Y&amp;PAGE=booktext&amp;D=books&amp;SC=02102015&amp;EPUB=Y","https://ovidsp.ovid.com/ovidweb.cgi?T=JS&amp;NEWS=n&amp;CSC=Y&amp;PAGE=booktext&amp;D=books&amp;SC=02102015&amp;EPUB=Y")</f>
        <v>https://ovidsp.ovid.com/ovidweb.cgi?T=JS&amp;NEWS=n&amp;CSC=Y&amp;PAGE=booktext&amp;D=books&amp;SC=02102015&amp;EPUB=Y</v>
      </c>
      <c r="H468" s="8" t="s">
        <v>1795</v>
      </c>
    </row>
    <row r="469" spans="1:8" x14ac:dyDescent="0.3">
      <c r="A469" s="4" t="s">
        <v>1056</v>
      </c>
      <c r="B469" s="5">
        <v>44893</v>
      </c>
      <c r="C469" s="6" t="s">
        <v>1971</v>
      </c>
      <c r="D469" s="6" t="s">
        <v>2536</v>
      </c>
      <c r="E469" s="6" t="s">
        <v>2503</v>
      </c>
      <c r="F469" s="6" t="s">
        <v>241</v>
      </c>
      <c r="G469" s="7" t="str">
        <f>HYPERLINK("https://ovidsp.ovid.com/ovidweb.cgi?T=JS&amp;NEWS=n&amp;CSC=Y&amp;PAGE=booktext&amp;D=books&amp;SC=01845209&amp;EPUB=Y","https://ovidsp.ovid.com/ovidweb.cgi?T=JS&amp;NEWS=n&amp;CSC=Y&amp;PAGE=booktext&amp;D=books&amp;SC=01845209&amp;EPUB=Y")</f>
        <v>https://ovidsp.ovid.com/ovidweb.cgi?T=JS&amp;NEWS=n&amp;CSC=Y&amp;PAGE=booktext&amp;D=books&amp;SC=01845209&amp;EPUB=Y</v>
      </c>
      <c r="H469" s="8" t="s">
        <v>1795</v>
      </c>
    </row>
    <row r="470" spans="1:8" x14ac:dyDescent="0.3">
      <c r="A470" s="4" t="s">
        <v>1056</v>
      </c>
      <c r="B470" s="5">
        <v>44893</v>
      </c>
      <c r="C470" s="6" t="s">
        <v>1226</v>
      </c>
      <c r="D470" s="6" t="s">
        <v>2099</v>
      </c>
      <c r="E470" s="6" t="s">
        <v>2503</v>
      </c>
      <c r="F470" s="6" t="s">
        <v>1208</v>
      </c>
      <c r="G470" s="7" t="str">
        <f>HYPERLINK("https://ovidsp.ovid.com/ovidweb.cgi?T=JS&amp;NEWS=n&amp;CSC=Y&amp;PAGE=booktext&amp;D=books&amp;SC=01434525&amp;EPUB=Y","https://ovidsp.ovid.com/ovidweb.cgi?T=JS&amp;NEWS=n&amp;CSC=Y&amp;PAGE=booktext&amp;D=books&amp;SC=01434525&amp;EPUB=Y")</f>
        <v>https://ovidsp.ovid.com/ovidweb.cgi?T=JS&amp;NEWS=n&amp;CSC=Y&amp;PAGE=booktext&amp;D=books&amp;SC=01434525&amp;EPUB=Y</v>
      </c>
      <c r="H470" s="8" t="s">
        <v>1795</v>
      </c>
    </row>
    <row r="471" spans="1:8" x14ac:dyDescent="0.3">
      <c r="A471" s="4" t="s">
        <v>2465</v>
      </c>
      <c r="B471" s="5">
        <v>44893</v>
      </c>
      <c r="C471" s="6" t="s">
        <v>2367</v>
      </c>
      <c r="D471" s="6" t="s">
        <v>1643</v>
      </c>
      <c r="E471" s="6" t="s">
        <v>2503</v>
      </c>
      <c r="F471" s="6" t="s">
        <v>1208</v>
      </c>
      <c r="G471" s="7" t="str">
        <f>HYPERLINK("https://ovidsp.ovid.com/ovidweb.cgi?T=JS&amp;NEWS=n&amp;CSC=Y&amp;PAGE=booktext&amp;D=books&amp;SC=01434467&amp;EPUB=Y","https://ovidsp.ovid.com/ovidweb.cgi?T=JS&amp;NEWS=n&amp;CSC=Y&amp;PAGE=booktext&amp;D=books&amp;SC=01434467&amp;EPUB=Y")</f>
        <v>https://ovidsp.ovid.com/ovidweb.cgi?T=JS&amp;NEWS=n&amp;CSC=Y&amp;PAGE=booktext&amp;D=books&amp;SC=01434467&amp;EPUB=Y</v>
      </c>
      <c r="H471" s="8" t="s">
        <v>1795</v>
      </c>
    </row>
    <row r="472" spans="1:8" x14ac:dyDescent="0.3">
      <c r="A472" s="4" t="s">
        <v>1649</v>
      </c>
      <c r="B472" s="5">
        <v>44893</v>
      </c>
      <c r="C472" s="6" t="s">
        <v>1932</v>
      </c>
      <c r="D472" s="6" t="s">
        <v>2046</v>
      </c>
      <c r="E472" s="6" t="s">
        <v>2503</v>
      </c>
      <c r="F472" s="6" t="s">
        <v>241</v>
      </c>
      <c r="G472" s="7" t="str">
        <f>HYPERLINK("https://ovidsp.ovid.com/ovidweb.cgi?T=JS&amp;NEWS=n&amp;CSC=Y&amp;PAGE=booktext&amp;D=books&amp;SC=01933619&amp;EPUB=Y","https://ovidsp.ovid.com/ovidweb.cgi?T=JS&amp;NEWS=n&amp;CSC=Y&amp;PAGE=booktext&amp;D=books&amp;SC=01933619&amp;EPUB=Y")</f>
        <v>https://ovidsp.ovid.com/ovidweb.cgi?T=JS&amp;NEWS=n&amp;CSC=Y&amp;PAGE=booktext&amp;D=books&amp;SC=01933619&amp;EPUB=Y</v>
      </c>
      <c r="H472" s="8" t="s">
        <v>1795</v>
      </c>
    </row>
    <row r="473" spans="1:8" x14ac:dyDescent="0.3">
      <c r="A473" s="4" t="s">
        <v>2485</v>
      </c>
      <c r="B473" s="5">
        <v>44893</v>
      </c>
      <c r="C473" s="6" t="s">
        <v>2588</v>
      </c>
      <c r="D473" s="6" t="s">
        <v>1715</v>
      </c>
      <c r="E473" s="6" t="s">
        <v>2503</v>
      </c>
      <c r="F473" s="6" t="s">
        <v>1208</v>
      </c>
      <c r="G473" s="7" t="str">
        <f>HYPERLINK("https://ovidsp.ovid.com/ovidweb.cgi?T=JS&amp;NEWS=n&amp;CSC=Y&amp;PAGE=booktext&amp;D=books&amp;SC=01720299&amp;EPUB=Y","https://ovidsp.ovid.com/ovidweb.cgi?T=JS&amp;NEWS=n&amp;CSC=Y&amp;PAGE=booktext&amp;D=books&amp;SC=01720299&amp;EPUB=Y")</f>
        <v>https://ovidsp.ovid.com/ovidweb.cgi?T=JS&amp;NEWS=n&amp;CSC=Y&amp;PAGE=booktext&amp;D=books&amp;SC=01720299&amp;EPUB=Y</v>
      </c>
      <c r="H473" s="8" t="s">
        <v>1795</v>
      </c>
    </row>
    <row r="474" spans="1:8" x14ac:dyDescent="0.3">
      <c r="A474" s="4" t="s">
        <v>123</v>
      </c>
      <c r="B474" s="5">
        <v>44893</v>
      </c>
      <c r="C474" s="6" t="s">
        <v>1206</v>
      </c>
      <c r="D474" s="6" t="s">
        <v>411</v>
      </c>
      <c r="E474" s="6" t="s">
        <v>2503</v>
      </c>
      <c r="F474" s="6" t="s">
        <v>1208</v>
      </c>
      <c r="G474" s="7" t="str">
        <f>HYPERLINK("https://ovidsp.ovid.com/ovidweb.cgi?T=JS&amp;NEWS=n&amp;CSC=Y&amp;PAGE=booktext&amp;D=books&amp;SC=02273829&amp;EPUB=Y","https://ovidsp.ovid.com/ovidweb.cgi?T=JS&amp;NEWS=n&amp;CSC=Y&amp;PAGE=booktext&amp;D=books&amp;SC=02273829&amp;EPUB=Y")</f>
        <v>https://ovidsp.ovid.com/ovidweb.cgi?T=JS&amp;NEWS=n&amp;CSC=Y&amp;PAGE=booktext&amp;D=books&amp;SC=02273829&amp;EPUB=Y</v>
      </c>
      <c r="H474" s="8" t="s">
        <v>1795</v>
      </c>
    </row>
    <row r="475" spans="1:8" x14ac:dyDescent="0.3">
      <c r="A475" s="4" t="s">
        <v>1861</v>
      </c>
      <c r="B475" s="5">
        <v>44893</v>
      </c>
      <c r="C475" s="6" t="s">
        <v>1526</v>
      </c>
      <c r="D475" s="6" t="s">
        <v>1222</v>
      </c>
      <c r="E475" s="6" t="s">
        <v>2503</v>
      </c>
      <c r="F475" s="6" t="s">
        <v>1208</v>
      </c>
      <c r="G475" s="7" t="str">
        <f>HYPERLINK("https://ovidsp.ovid.com/ovidweb.cgi?T=JS&amp;NEWS=n&amp;CSC=Y&amp;PAGE=booktext&amp;D=books&amp;SC=01807341&amp;EPUB=Y","https://ovidsp.ovid.com/ovidweb.cgi?T=JS&amp;NEWS=n&amp;CSC=Y&amp;PAGE=booktext&amp;D=books&amp;SC=01807341&amp;EPUB=Y")</f>
        <v>https://ovidsp.ovid.com/ovidweb.cgi?T=JS&amp;NEWS=n&amp;CSC=Y&amp;PAGE=booktext&amp;D=books&amp;SC=01807341&amp;EPUB=Y</v>
      </c>
      <c r="H475" s="8" t="s">
        <v>1795</v>
      </c>
    </row>
    <row r="476" spans="1:8" x14ac:dyDescent="0.3">
      <c r="A476" s="4" t="s">
        <v>1628</v>
      </c>
      <c r="B476" s="5">
        <v>44893</v>
      </c>
      <c r="C476" s="6" t="s">
        <v>2224</v>
      </c>
      <c r="D476" s="6" t="s">
        <v>1058</v>
      </c>
      <c r="E476" s="6" t="s">
        <v>2503</v>
      </c>
      <c r="F476" s="6" t="s">
        <v>241</v>
      </c>
      <c r="G476" s="7" t="str">
        <f>HYPERLINK("https://ovidsp.ovid.com/ovidweb.cgi?T=JS&amp;NEWS=n&amp;CSC=Y&amp;PAGE=booktext&amp;D=books&amp;SC=01439433&amp;EPUB=Y","https://ovidsp.ovid.com/ovidweb.cgi?T=JS&amp;NEWS=n&amp;CSC=Y&amp;PAGE=booktext&amp;D=books&amp;SC=01439433&amp;EPUB=Y")</f>
        <v>https://ovidsp.ovid.com/ovidweb.cgi?T=JS&amp;NEWS=n&amp;CSC=Y&amp;PAGE=booktext&amp;D=books&amp;SC=01439433&amp;EPUB=Y</v>
      </c>
      <c r="H476" s="8" t="s">
        <v>1795</v>
      </c>
    </row>
    <row r="477" spans="1:8" x14ac:dyDescent="0.3">
      <c r="A477" s="4" t="s">
        <v>113</v>
      </c>
      <c r="B477" s="5">
        <v>44893</v>
      </c>
      <c r="C477" s="6" t="s">
        <v>1196</v>
      </c>
      <c r="D477" s="6" t="s">
        <v>186</v>
      </c>
      <c r="E477" s="6" t="s">
        <v>2503</v>
      </c>
      <c r="F477" s="6" t="s">
        <v>1208</v>
      </c>
      <c r="G477" s="7" t="str">
        <f>HYPERLINK("https://ovidsp.ovid.com/ovidweb.cgi?T=JS&amp;NEWS=n&amp;CSC=Y&amp;PAGE=booktext&amp;D=books&amp;SC=02249951&amp;EPUB=Y","https://ovidsp.ovid.com/ovidweb.cgi?T=JS&amp;NEWS=n&amp;CSC=Y&amp;PAGE=booktext&amp;D=books&amp;SC=02249951&amp;EPUB=Y")</f>
        <v>https://ovidsp.ovid.com/ovidweb.cgi?T=JS&amp;NEWS=n&amp;CSC=Y&amp;PAGE=booktext&amp;D=books&amp;SC=02249951&amp;EPUB=Y</v>
      </c>
      <c r="H477" s="8" t="s">
        <v>1795</v>
      </c>
    </row>
    <row r="478" spans="1:8" x14ac:dyDescent="0.3">
      <c r="A478" s="4" t="s">
        <v>1385</v>
      </c>
      <c r="B478" s="5">
        <v>44893</v>
      </c>
      <c r="C478" s="6" t="s">
        <v>954</v>
      </c>
      <c r="D478" s="6" t="s">
        <v>1879</v>
      </c>
      <c r="E478" s="6" t="s">
        <v>2503</v>
      </c>
      <c r="F478" s="6" t="s">
        <v>1208</v>
      </c>
      <c r="G478" s="7" t="str">
        <f>HYPERLINK("https://ovidsp.ovid.com/ovidweb.cgi?T=JS&amp;NEWS=n&amp;CSC=Y&amp;PAGE=booktext&amp;D=books&amp;SC=02249953&amp;EPUB=Y","https://ovidsp.ovid.com/ovidweb.cgi?T=JS&amp;NEWS=n&amp;CSC=Y&amp;PAGE=booktext&amp;D=books&amp;SC=02249953&amp;EPUB=Y")</f>
        <v>https://ovidsp.ovid.com/ovidweb.cgi?T=JS&amp;NEWS=n&amp;CSC=Y&amp;PAGE=booktext&amp;D=books&amp;SC=02249953&amp;EPUB=Y</v>
      </c>
      <c r="H478" s="8" t="s">
        <v>1795</v>
      </c>
    </row>
    <row r="479" spans="1:8" x14ac:dyDescent="0.3">
      <c r="A479" s="4" t="s">
        <v>1252</v>
      </c>
      <c r="B479" s="5">
        <v>44893</v>
      </c>
      <c r="C479" s="6" t="s">
        <v>1585</v>
      </c>
      <c r="D479" s="6" t="s">
        <v>1191</v>
      </c>
      <c r="E479" s="6" t="s">
        <v>2503</v>
      </c>
      <c r="F479" s="6" t="s">
        <v>1208</v>
      </c>
      <c r="G479" s="7" t="str">
        <f>HYPERLINK("https://ovidsp.ovid.com/ovidweb.cgi?T=JS&amp;NEWS=n&amp;CSC=Y&amp;PAGE=booktext&amp;D=books&amp;SC=01845221&amp;EPUB=Y","https://ovidsp.ovid.com/ovidweb.cgi?T=JS&amp;NEWS=n&amp;CSC=Y&amp;PAGE=booktext&amp;D=books&amp;SC=01845221&amp;EPUB=Y")</f>
        <v>https://ovidsp.ovid.com/ovidweb.cgi?T=JS&amp;NEWS=n&amp;CSC=Y&amp;PAGE=booktext&amp;D=books&amp;SC=01845221&amp;EPUB=Y</v>
      </c>
      <c r="H479" s="8" t="s">
        <v>1795</v>
      </c>
    </row>
    <row r="480" spans="1:8" x14ac:dyDescent="0.3">
      <c r="A480" s="4" t="s">
        <v>2476</v>
      </c>
      <c r="B480" s="5">
        <v>44893</v>
      </c>
      <c r="C480" s="6" t="s">
        <v>2367</v>
      </c>
      <c r="D480" s="6" t="s">
        <v>1643</v>
      </c>
      <c r="E480" s="6" t="s">
        <v>2503</v>
      </c>
      <c r="F480" s="6" t="s">
        <v>1208</v>
      </c>
      <c r="G480" s="7" t="str">
        <f>HYPERLINK("https://ovidsp.ovid.com/ovidweb.cgi?T=JS&amp;NEWS=n&amp;CSC=Y&amp;PAGE=booktext&amp;D=books&amp;SC=01434320&amp;EPUB=Y","https://ovidsp.ovid.com/ovidweb.cgi?T=JS&amp;NEWS=n&amp;CSC=Y&amp;PAGE=booktext&amp;D=books&amp;SC=01434320&amp;EPUB=Y")</f>
        <v>https://ovidsp.ovid.com/ovidweb.cgi?T=JS&amp;NEWS=n&amp;CSC=Y&amp;PAGE=booktext&amp;D=books&amp;SC=01434320&amp;EPUB=Y</v>
      </c>
      <c r="H480" s="8" t="s">
        <v>1795</v>
      </c>
    </row>
    <row r="481" spans="1:8" x14ac:dyDescent="0.3">
      <c r="A481" s="4" t="s">
        <v>1440</v>
      </c>
      <c r="B481" s="5">
        <v>44893</v>
      </c>
      <c r="C481" s="6" t="s">
        <v>2056</v>
      </c>
      <c r="D481" s="6" t="s">
        <v>1619</v>
      </c>
      <c r="E481" s="6" t="s">
        <v>2503</v>
      </c>
      <c r="F481" s="6" t="s">
        <v>1208</v>
      </c>
      <c r="G481" s="7" t="str">
        <f>HYPERLINK("https://ovidsp.ovid.com/ovidweb.cgi?T=JS&amp;NEWS=n&amp;CSC=Y&amp;PAGE=booktext&amp;D=books&amp;SC=01434601&amp;EPUB=Y","https://ovidsp.ovid.com/ovidweb.cgi?T=JS&amp;NEWS=n&amp;CSC=Y&amp;PAGE=booktext&amp;D=books&amp;SC=01434601&amp;EPUB=Y")</f>
        <v>https://ovidsp.ovid.com/ovidweb.cgi?T=JS&amp;NEWS=n&amp;CSC=Y&amp;PAGE=booktext&amp;D=books&amp;SC=01434601&amp;EPUB=Y</v>
      </c>
      <c r="H481" s="8" t="s">
        <v>1795</v>
      </c>
    </row>
    <row r="482" spans="1:8" x14ac:dyDescent="0.3">
      <c r="A482" s="4" t="s">
        <v>408</v>
      </c>
      <c r="B482" s="5">
        <v>44893</v>
      </c>
      <c r="C482" s="6" t="s">
        <v>2242</v>
      </c>
      <c r="D482" s="6" t="s">
        <v>1548</v>
      </c>
      <c r="E482" s="6" t="s">
        <v>2503</v>
      </c>
      <c r="F482" s="6" t="s">
        <v>1208</v>
      </c>
      <c r="G482" s="7" t="str">
        <f>HYPERLINK("https://ovidsp.ovid.com/ovidweb.cgi?T=JS&amp;NEWS=n&amp;CSC=Y&amp;PAGE=booktext&amp;D=books&amp;SC=01990641&amp;EPUB=Y","https://ovidsp.ovid.com/ovidweb.cgi?T=JS&amp;NEWS=n&amp;CSC=Y&amp;PAGE=booktext&amp;D=books&amp;SC=01990641&amp;EPUB=Y")</f>
        <v>https://ovidsp.ovid.com/ovidweb.cgi?T=JS&amp;NEWS=n&amp;CSC=Y&amp;PAGE=booktext&amp;D=books&amp;SC=01990641&amp;EPUB=Y</v>
      </c>
      <c r="H482" s="8" t="s">
        <v>1795</v>
      </c>
    </row>
    <row r="483" spans="1:8" x14ac:dyDescent="0.3">
      <c r="A483" s="4" t="s">
        <v>506</v>
      </c>
      <c r="B483" s="5">
        <v>44893</v>
      </c>
      <c r="C483" s="6" t="s">
        <v>292</v>
      </c>
      <c r="D483" s="6" t="s">
        <v>2564</v>
      </c>
      <c r="E483" s="6" t="s">
        <v>2503</v>
      </c>
      <c r="F483" s="6" t="s">
        <v>1208</v>
      </c>
      <c r="G483" s="7" t="str">
        <f>HYPERLINK("https://ovidsp.ovid.com/ovidweb.cgi?T=JS&amp;NEWS=n&amp;CSC=Y&amp;PAGE=booktext&amp;D=books&amp;SC=01807342&amp;EPUB=Y","https://ovidsp.ovid.com/ovidweb.cgi?T=JS&amp;NEWS=n&amp;CSC=Y&amp;PAGE=booktext&amp;D=books&amp;SC=01807342&amp;EPUB=Y")</f>
        <v>https://ovidsp.ovid.com/ovidweb.cgi?T=JS&amp;NEWS=n&amp;CSC=Y&amp;PAGE=booktext&amp;D=books&amp;SC=01807342&amp;EPUB=Y</v>
      </c>
      <c r="H483" s="8" t="s">
        <v>1795</v>
      </c>
    </row>
    <row r="484" spans="1:8" x14ac:dyDescent="0.3">
      <c r="A484" s="4" t="s">
        <v>1975</v>
      </c>
      <c r="B484" s="5">
        <v>44893</v>
      </c>
      <c r="C484" s="6" t="s">
        <v>2367</v>
      </c>
      <c r="D484" s="6" t="s">
        <v>1643</v>
      </c>
      <c r="E484" s="6" t="s">
        <v>2503</v>
      </c>
      <c r="F484" s="6" t="s">
        <v>1208</v>
      </c>
      <c r="G484" s="7" t="str">
        <f>HYPERLINK("https://ovidsp.ovid.com/ovidweb.cgi?T=JS&amp;NEWS=n&amp;CSC=Y&amp;PAGE=booktext&amp;D=books&amp;SC=01434389&amp;EPUB=Y","https://ovidsp.ovid.com/ovidweb.cgi?T=JS&amp;NEWS=n&amp;CSC=Y&amp;PAGE=booktext&amp;D=books&amp;SC=01434389&amp;EPUB=Y")</f>
        <v>https://ovidsp.ovid.com/ovidweb.cgi?T=JS&amp;NEWS=n&amp;CSC=Y&amp;PAGE=booktext&amp;D=books&amp;SC=01434389&amp;EPUB=Y</v>
      </c>
      <c r="H484" s="8" t="s">
        <v>1795</v>
      </c>
    </row>
    <row r="485" spans="1:8" x14ac:dyDescent="0.3">
      <c r="A485" s="4" t="s">
        <v>1317</v>
      </c>
      <c r="B485" s="5">
        <v>44893</v>
      </c>
      <c r="C485" s="6" t="s">
        <v>2290</v>
      </c>
      <c r="D485" s="6" t="s">
        <v>1142</v>
      </c>
      <c r="E485" s="6" t="s">
        <v>2503</v>
      </c>
      <c r="F485" s="6" t="s">
        <v>1208</v>
      </c>
      <c r="G485" s="7" t="str">
        <f>HYPERLINK("https://ovidsp.ovid.com/ovidweb.cgi?T=JS&amp;NEWS=n&amp;CSC=Y&amp;PAGE=booktext&amp;D=books&amp;SC=01434517&amp;EPUB=Y","https://ovidsp.ovid.com/ovidweb.cgi?T=JS&amp;NEWS=n&amp;CSC=Y&amp;PAGE=booktext&amp;D=books&amp;SC=01434517&amp;EPUB=Y")</f>
        <v>https://ovidsp.ovid.com/ovidweb.cgi?T=JS&amp;NEWS=n&amp;CSC=Y&amp;PAGE=booktext&amp;D=books&amp;SC=01434517&amp;EPUB=Y</v>
      </c>
      <c r="H485" s="8" t="s">
        <v>1795</v>
      </c>
    </row>
    <row r="486" spans="1:8" x14ac:dyDescent="0.3">
      <c r="A486" s="4" t="s">
        <v>1139</v>
      </c>
      <c r="B486" s="5">
        <v>44893</v>
      </c>
      <c r="C486" s="6" t="s">
        <v>774</v>
      </c>
      <c r="D486" s="6" t="s">
        <v>154</v>
      </c>
      <c r="E486" s="6" t="s">
        <v>2503</v>
      </c>
      <c r="F486" s="6" t="s">
        <v>1208</v>
      </c>
      <c r="G486" s="7" t="str">
        <f>HYPERLINK("https://ovidsp.ovid.com/ovidweb.cgi?T=JS&amp;NEWS=n&amp;CSC=Y&amp;PAGE=booktext&amp;D=books&amp;SC=01434608&amp;EPUB=Y","https://ovidsp.ovid.com/ovidweb.cgi?T=JS&amp;NEWS=n&amp;CSC=Y&amp;PAGE=booktext&amp;D=books&amp;SC=01434608&amp;EPUB=Y")</f>
        <v>https://ovidsp.ovid.com/ovidweb.cgi?T=JS&amp;NEWS=n&amp;CSC=Y&amp;PAGE=booktext&amp;D=books&amp;SC=01434608&amp;EPUB=Y</v>
      </c>
      <c r="H486" s="8" t="s">
        <v>1795</v>
      </c>
    </row>
    <row r="487" spans="1:8" x14ac:dyDescent="0.3">
      <c r="A487" s="4" t="s">
        <v>921</v>
      </c>
      <c r="B487" s="5">
        <v>44893</v>
      </c>
      <c r="C487" s="6" t="s">
        <v>448</v>
      </c>
      <c r="D487" s="6" t="s">
        <v>1830</v>
      </c>
      <c r="E487" s="6" t="s">
        <v>2503</v>
      </c>
      <c r="F487" s="6" t="s">
        <v>1208</v>
      </c>
      <c r="G487" s="7" t="str">
        <f>HYPERLINK("https://ovidsp.ovid.com/ovidweb.cgi?T=JS&amp;NEWS=n&amp;CSC=Y&amp;PAGE=booktext&amp;D=books&amp;SC=02050048&amp;EPUB=Y","https://ovidsp.ovid.com/ovidweb.cgi?T=JS&amp;NEWS=n&amp;CSC=Y&amp;PAGE=booktext&amp;D=books&amp;SC=02050048&amp;EPUB=Y")</f>
        <v>https://ovidsp.ovid.com/ovidweb.cgi?T=JS&amp;NEWS=n&amp;CSC=Y&amp;PAGE=booktext&amp;D=books&amp;SC=02050048&amp;EPUB=Y</v>
      </c>
      <c r="H487" s="8" t="s">
        <v>1795</v>
      </c>
    </row>
    <row r="488" spans="1:8" x14ac:dyDescent="0.3">
      <c r="A488" s="4" t="s">
        <v>365</v>
      </c>
      <c r="B488" s="5">
        <v>44893</v>
      </c>
      <c r="C488" s="6" t="s">
        <v>2337</v>
      </c>
      <c r="D488" s="6" t="s">
        <v>991</v>
      </c>
      <c r="E488" s="6" t="s">
        <v>2503</v>
      </c>
      <c r="F488" s="6" t="s">
        <v>1208</v>
      </c>
      <c r="G488" s="7" t="str">
        <f>HYPERLINK("https://ovidsp.ovid.com/ovidweb.cgi?T=JS&amp;NEWS=n&amp;CSC=Y&amp;PAGE=booktext&amp;D=books&amp;SC=01437813&amp;EPUB=Y","https://ovidsp.ovid.com/ovidweb.cgi?T=JS&amp;NEWS=n&amp;CSC=Y&amp;PAGE=booktext&amp;D=books&amp;SC=01437813&amp;EPUB=Y")</f>
        <v>https://ovidsp.ovid.com/ovidweb.cgi?T=JS&amp;NEWS=n&amp;CSC=Y&amp;PAGE=booktext&amp;D=books&amp;SC=01437813&amp;EPUB=Y</v>
      </c>
      <c r="H488" s="8" t="s">
        <v>1795</v>
      </c>
    </row>
    <row r="489" spans="1:8" x14ac:dyDescent="0.3">
      <c r="A489" s="4" t="s">
        <v>1497</v>
      </c>
      <c r="B489" s="5">
        <v>44893</v>
      </c>
      <c r="C489" s="6" t="s">
        <v>2184</v>
      </c>
      <c r="D489" s="6" t="s">
        <v>216</v>
      </c>
      <c r="E489" s="6" t="s">
        <v>2503</v>
      </c>
      <c r="F489" s="6" t="s">
        <v>1208</v>
      </c>
      <c r="G489" s="7" t="str">
        <f>HYPERLINK("https://ovidsp.ovid.com/ovidweb.cgi?T=JS&amp;NEWS=n&amp;CSC=Y&amp;PAGE=booktext&amp;D=books&amp;SC=01768407&amp;EPUB=Y","https://ovidsp.ovid.com/ovidweb.cgi?T=JS&amp;NEWS=n&amp;CSC=Y&amp;PAGE=booktext&amp;D=books&amp;SC=01768407&amp;EPUB=Y")</f>
        <v>https://ovidsp.ovid.com/ovidweb.cgi?T=JS&amp;NEWS=n&amp;CSC=Y&amp;PAGE=booktext&amp;D=books&amp;SC=01768407&amp;EPUB=Y</v>
      </c>
      <c r="H489" s="8" t="s">
        <v>1795</v>
      </c>
    </row>
    <row r="490" spans="1:8" x14ac:dyDescent="0.3">
      <c r="A490" s="4" t="s">
        <v>2483</v>
      </c>
      <c r="B490" s="5">
        <v>44893</v>
      </c>
      <c r="C490" s="6" t="s">
        <v>1989</v>
      </c>
      <c r="D490" s="6" t="s">
        <v>173</v>
      </c>
      <c r="E490" s="6" t="s">
        <v>2503</v>
      </c>
      <c r="F490" s="6" t="s">
        <v>1208</v>
      </c>
      <c r="G490" s="7" t="str">
        <f>HYPERLINK("https://ovidsp.ovid.com/ovidweb.cgi?T=JS&amp;NEWS=n&amp;CSC=Y&amp;PAGE=booktext&amp;D=books&amp;SC=01714652&amp;EPUB=Y","https://ovidsp.ovid.com/ovidweb.cgi?T=JS&amp;NEWS=n&amp;CSC=Y&amp;PAGE=booktext&amp;D=books&amp;SC=01714652&amp;EPUB=Y")</f>
        <v>https://ovidsp.ovid.com/ovidweb.cgi?T=JS&amp;NEWS=n&amp;CSC=Y&amp;PAGE=booktext&amp;D=books&amp;SC=01714652&amp;EPUB=Y</v>
      </c>
      <c r="H490" s="8" t="s">
        <v>1795</v>
      </c>
    </row>
    <row r="491" spans="1:8" x14ac:dyDescent="0.3">
      <c r="A491" s="4" t="s">
        <v>631</v>
      </c>
      <c r="B491" s="5">
        <v>44893</v>
      </c>
      <c r="C491" s="6" t="s">
        <v>2471</v>
      </c>
      <c r="D491" s="6" t="s">
        <v>28</v>
      </c>
      <c r="E491" s="6" t="s">
        <v>2503</v>
      </c>
      <c r="F491" s="6" t="s">
        <v>1208</v>
      </c>
      <c r="G491" s="7" t="str">
        <f>HYPERLINK("https://ovidsp.ovid.com/ovidweb.cgi?T=JS&amp;NEWS=n&amp;CSC=Y&amp;PAGE=booktext&amp;D=books&amp;SC=01439430&amp;EPUB=Y","https://ovidsp.ovid.com/ovidweb.cgi?T=JS&amp;NEWS=n&amp;CSC=Y&amp;PAGE=booktext&amp;D=books&amp;SC=01439430&amp;EPUB=Y")</f>
        <v>https://ovidsp.ovid.com/ovidweb.cgi?T=JS&amp;NEWS=n&amp;CSC=Y&amp;PAGE=booktext&amp;D=books&amp;SC=01439430&amp;EPUB=Y</v>
      </c>
      <c r="H491" s="8" t="s">
        <v>1795</v>
      </c>
    </row>
    <row r="492" spans="1:8" x14ac:dyDescent="0.3">
      <c r="A492" s="4" t="s">
        <v>2541</v>
      </c>
      <c r="B492" s="5">
        <v>44893</v>
      </c>
      <c r="C492" s="6" t="s">
        <v>1732</v>
      </c>
      <c r="D492" s="6" t="s">
        <v>724</v>
      </c>
      <c r="E492" s="6" t="s">
        <v>2503</v>
      </c>
      <c r="F492" s="6" t="s">
        <v>1208</v>
      </c>
      <c r="G492" s="7" t="str">
        <f>HYPERLINK("https://ovidsp.ovid.com/ovidweb.cgi?T=JS&amp;NEWS=n&amp;CSC=Y&amp;PAGE=booktext&amp;D=books&amp;SC=01434558&amp;EPUB=Y","https://ovidsp.ovid.com/ovidweb.cgi?T=JS&amp;NEWS=n&amp;CSC=Y&amp;PAGE=booktext&amp;D=books&amp;SC=01434558&amp;EPUB=Y")</f>
        <v>https://ovidsp.ovid.com/ovidweb.cgi?T=JS&amp;NEWS=n&amp;CSC=Y&amp;PAGE=booktext&amp;D=books&amp;SC=01434558&amp;EPUB=Y</v>
      </c>
      <c r="H492" s="8" t="s">
        <v>1795</v>
      </c>
    </row>
    <row r="493" spans="1:8" x14ac:dyDescent="0.3">
      <c r="A493" s="4" t="s">
        <v>194</v>
      </c>
      <c r="B493" s="5">
        <v>44893</v>
      </c>
      <c r="C493" s="6" t="s">
        <v>2281</v>
      </c>
      <c r="D493" s="6" t="s">
        <v>1148</v>
      </c>
      <c r="E493" s="6" t="s">
        <v>2503</v>
      </c>
      <c r="F493" s="6" t="s">
        <v>1208</v>
      </c>
      <c r="G493" s="7" t="str">
        <f>HYPERLINK("https://ovidsp.ovid.com/ovidweb.cgi?T=JS&amp;NEWS=n&amp;CSC=Y&amp;PAGE=booktext&amp;D=books&amp;SC=01434580&amp;EPUB=Y","https://ovidsp.ovid.com/ovidweb.cgi?T=JS&amp;NEWS=n&amp;CSC=Y&amp;PAGE=booktext&amp;D=books&amp;SC=01434580&amp;EPUB=Y")</f>
        <v>https://ovidsp.ovid.com/ovidweb.cgi?T=JS&amp;NEWS=n&amp;CSC=Y&amp;PAGE=booktext&amp;D=books&amp;SC=01434580&amp;EPUB=Y</v>
      </c>
      <c r="H493" s="8" t="s">
        <v>1795</v>
      </c>
    </row>
    <row r="494" spans="1:8" x14ac:dyDescent="0.3">
      <c r="A494" s="4" t="s">
        <v>1368</v>
      </c>
      <c r="B494" s="5">
        <v>44893</v>
      </c>
      <c r="C494" s="6" t="s">
        <v>2367</v>
      </c>
      <c r="D494" s="6" t="s">
        <v>1643</v>
      </c>
      <c r="E494" s="6" t="s">
        <v>2503</v>
      </c>
      <c r="F494" s="6" t="s">
        <v>1208</v>
      </c>
      <c r="G494" s="7" t="str">
        <f>HYPERLINK("https://ovidsp.ovid.com/ovidweb.cgi?T=JS&amp;NEWS=n&amp;CSC=Y&amp;PAGE=booktext&amp;D=books&amp;SC=01434491&amp;EPUB=Y","https://ovidsp.ovid.com/ovidweb.cgi?T=JS&amp;NEWS=n&amp;CSC=Y&amp;PAGE=booktext&amp;D=books&amp;SC=01434491&amp;EPUB=Y")</f>
        <v>https://ovidsp.ovid.com/ovidweb.cgi?T=JS&amp;NEWS=n&amp;CSC=Y&amp;PAGE=booktext&amp;D=books&amp;SC=01434491&amp;EPUB=Y</v>
      </c>
      <c r="H494" s="8" t="s">
        <v>1795</v>
      </c>
    </row>
    <row r="495" spans="1:8" x14ac:dyDescent="0.3">
      <c r="A495" s="4" t="s">
        <v>789</v>
      </c>
      <c r="B495" s="5">
        <v>44893</v>
      </c>
      <c r="C495" s="6" t="s">
        <v>2367</v>
      </c>
      <c r="D495" s="6" t="s">
        <v>1643</v>
      </c>
      <c r="E495" s="6" t="s">
        <v>2503</v>
      </c>
      <c r="F495" s="6" t="s">
        <v>1208</v>
      </c>
      <c r="G495" s="7" t="str">
        <f>HYPERLINK("https://ovidsp.ovid.com/ovidweb.cgi?T=JS&amp;NEWS=n&amp;CSC=Y&amp;PAGE=booktext&amp;D=books&amp;SC=01434313&amp;EPUB=Y","https://ovidsp.ovid.com/ovidweb.cgi?T=JS&amp;NEWS=n&amp;CSC=Y&amp;PAGE=booktext&amp;D=books&amp;SC=01434313&amp;EPUB=Y")</f>
        <v>https://ovidsp.ovid.com/ovidweb.cgi?T=JS&amp;NEWS=n&amp;CSC=Y&amp;PAGE=booktext&amp;D=books&amp;SC=01434313&amp;EPUB=Y</v>
      </c>
      <c r="H495" s="8" t="s">
        <v>1795</v>
      </c>
    </row>
    <row r="496" spans="1:8" x14ac:dyDescent="0.3">
      <c r="A496" s="4" t="s">
        <v>2384</v>
      </c>
      <c r="B496" s="5">
        <v>44893</v>
      </c>
      <c r="C496" s="6" t="s">
        <v>1906</v>
      </c>
      <c r="D496" s="6" t="s">
        <v>262</v>
      </c>
      <c r="E496" s="6" t="s">
        <v>2503</v>
      </c>
      <c r="F496" s="6" t="s">
        <v>1208</v>
      </c>
      <c r="G496" s="7" t="str">
        <f>HYPERLINK("https://ovidsp.ovid.com/ovidweb.cgi?T=JS&amp;NEWS=n&amp;CSC=Y&amp;PAGE=booktext&amp;D=books&amp;SC=01434652&amp;EPUB=Y","https://ovidsp.ovid.com/ovidweb.cgi?T=JS&amp;NEWS=n&amp;CSC=Y&amp;PAGE=booktext&amp;D=books&amp;SC=01434652&amp;EPUB=Y")</f>
        <v>https://ovidsp.ovid.com/ovidweb.cgi?T=JS&amp;NEWS=n&amp;CSC=Y&amp;PAGE=booktext&amp;D=books&amp;SC=01434652&amp;EPUB=Y</v>
      </c>
      <c r="H496" s="8" t="s">
        <v>1795</v>
      </c>
    </row>
    <row r="497" spans="1:8" x14ac:dyDescent="0.3">
      <c r="A497" s="4" t="s">
        <v>757</v>
      </c>
      <c r="B497" s="5">
        <v>44893</v>
      </c>
      <c r="C497" s="6" t="s">
        <v>2367</v>
      </c>
      <c r="D497" s="6" t="s">
        <v>1643</v>
      </c>
      <c r="E497" s="6" t="s">
        <v>2503</v>
      </c>
      <c r="F497" s="6" t="s">
        <v>241</v>
      </c>
      <c r="G497" s="7" t="str">
        <f>HYPERLINK("https://ovidsp.ovid.com/ovidweb.cgi?T=JS&amp;NEWS=n&amp;CSC=Y&amp;PAGE=booktext&amp;D=books&amp;SC=01434230&amp;EPUB=Y","https://ovidsp.ovid.com/ovidweb.cgi?T=JS&amp;NEWS=n&amp;CSC=Y&amp;PAGE=booktext&amp;D=books&amp;SC=01434230&amp;EPUB=Y")</f>
        <v>https://ovidsp.ovid.com/ovidweb.cgi?T=JS&amp;NEWS=n&amp;CSC=Y&amp;PAGE=booktext&amp;D=books&amp;SC=01434230&amp;EPUB=Y</v>
      </c>
      <c r="H497" s="8" t="s">
        <v>1795</v>
      </c>
    </row>
    <row r="498" spans="1:8" x14ac:dyDescent="0.3">
      <c r="A498" s="4" t="s">
        <v>750</v>
      </c>
      <c r="B498" s="5">
        <v>44893</v>
      </c>
      <c r="C498" s="6" t="s">
        <v>338</v>
      </c>
      <c r="D498" s="6" t="s">
        <v>832</v>
      </c>
      <c r="E498" s="6" t="s">
        <v>2503</v>
      </c>
      <c r="F498" s="6" t="s">
        <v>241</v>
      </c>
      <c r="G498" s="7" t="str">
        <f>HYPERLINK("https://ovidsp.ovid.com/ovidweb.cgi?T=JS&amp;NEWS=n&amp;CSC=Y&amp;PAGE=booktext&amp;D=books&amp;SC=01694351&amp;EPUB=Y","https://ovidsp.ovid.com/ovidweb.cgi?T=JS&amp;NEWS=n&amp;CSC=Y&amp;PAGE=booktext&amp;D=books&amp;SC=01694351&amp;EPUB=Y")</f>
        <v>https://ovidsp.ovid.com/ovidweb.cgi?T=JS&amp;NEWS=n&amp;CSC=Y&amp;PAGE=booktext&amp;D=books&amp;SC=01694351&amp;EPUB=Y</v>
      </c>
      <c r="H498" s="8" t="s">
        <v>1795</v>
      </c>
    </row>
    <row r="499" spans="1:8" x14ac:dyDescent="0.3">
      <c r="A499" s="4" t="s">
        <v>1372</v>
      </c>
      <c r="B499" s="5">
        <v>44893</v>
      </c>
      <c r="C499" s="6" t="s">
        <v>2098</v>
      </c>
      <c r="D499" s="6" t="s">
        <v>1117</v>
      </c>
      <c r="E499" s="6" t="s">
        <v>2503</v>
      </c>
      <c r="F499" s="6" t="s">
        <v>1208</v>
      </c>
      <c r="G499" s="7" t="str">
        <f>HYPERLINK("https://ovidsp.ovid.com/ovidweb.cgi?T=JS&amp;NEWS=n&amp;CSC=Y&amp;PAGE=booktext&amp;D=books&amp;SC=02272477&amp;EPUB=Y","https://ovidsp.ovid.com/ovidweb.cgi?T=JS&amp;NEWS=n&amp;CSC=Y&amp;PAGE=booktext&amp;D=books&amp;SC=02272477&amp;EPUB=Y")</f>
        <v>https://ovidsp.ovid.com/ovidweb.cgi?T=JS&amp;NEWS=n&amp;CSC=Y&amp;PAGE=booktext&amp;D=books&amp;SC=02272477&amp;EPUB=Y</v>
      </c>
      <c r="H499" s="8" t="s">
        <v>1795</v>
      </c>
    </row>
    <row r="500" spans="1:8" x14ac:dyDescent="0.3">
      <c r="A500" s="4" t="s">
        <v>733</v>
      </c>
      <c r="B500" s="5">
        <v>44893</v>
      </c>
      <c r="C500" s="6" t="s">
        <v>2367</v>
      </c>
      <c r="D500" s="6" t="s">
        <v>1643</v>
      </c>
      <c r="E500" s="6" t="s">
        <v>2503</v>
      </c>
      <c r="F500" s="6" t="s">
        <v>1208</v>
      </c>
      <c r="G500" s="7" t="str">
        <f>HYPERLINK("https://ovidsp.ovid.com/ovidweb.cgi?T=JS&amp;NEWS=n&amp;CSC=Y&amp;PAGE=booktext&amp;D=books&amp;SC=01434306&amp;EPUB=Y","https://ovidsp.ovid.com/ovidweb.cgi?T=JS&amp;NEWS=n&amp;CSC=Y&amp;PAGE=booktext&amp;D=books&amp;SC=01434306&amp;EPUB=Y")</f>
        <v>https://ovidsp.ovid.com/ovidweb.cgi?T=JS&amp;NEWS=n&amp;CSC=Y&amp;PAGE=booktext&amp;D=books&amp;SC=01434306&amp;EPUB=Y</v>
      </c>
      <c r="H500" s="8" t="s">
        <v>1795</v>
      </c>
    </row>
    <row r="501" spans="1:8" x14ac:dyDescent="0.3">
      <c r="A501" s="4" t="s">
        <v>1981</v>
      </c>
      <c r="B501" s="5">
        <v>44893</v>
      </c>
      <c r="C501" s="6" t="s">
        <v>382</v>
      </c>
      <c r="D501" s="6" t="s">
        <v>1238</v>
      </c>
      <c r="E501" s="6" t="s">
        <v>2503</v>
      </c>
      <c r="F501" s="6" t="s">
        <v>1208</v>
      </c>
      <c r="G501" s="7" t="str">
        <f>HYPERLINK("https://ovidsp.ovid.com/ovidweb.cgi?T=JS&amp;NEWS=n&amp;CSC=Y&amp;PAGE=booktext&amp;D=books&amp;SC=01434502&amp;EPUB=Y","https://ovidsp.ovid.com/ovidweb.cgi?T=JS&amp;NEWS=n&amp;CSC=Y&amp;PAGE=booktext&amp;D=books&amp;SC=01434502&amp;EPUB=Y")</f>
        <v>https://ovidsp.ovid.com/ovidweb.cgi?T=JS&amp;NEWS=n&amp;CSC=Y&amp;PAGE=booktext&amp;D=books&amp;SC=01434502&amp;EPUB=Y</v>
      </c>
      <c r="H501" s="8" t="s">
        <v>1795</v>
      </c>
    </row>
    <row r="502" spans="1:8" x14ac:dyDescent="0.3">
      <c r="A502" s="4" t="s">
        <v>162</v>
      </c>
      <c r="B502" s="5">
        <v>44893</v>
      </c>
      <c r="C502" s="6" t="s">
        <v>2055</v>
      </c>
      <c r="D502" s="6" t="s">
        <v>1351</v>
      </c>
      <c r="E502" s="6" t="s">
        <v>2503</v>
      </c>
      <c r="F502" s="6" t="s">
        <v>1208</v>
      </c>
      <c r="G502" s="7" t="str">
        <f>HYPERLINK("https://ovidsp.ovid.com/ovidweb.cgi?T=JS&amp;NEWS=n&amp;CSC=Y&amp;PAGE=booktext&amp;D=books&amp;SC=02024433&amp;EPUB=Y","https://ovidsp.ovid.com/ovidweb.cgi?T=JS&amp;NEWS=n&amp;CSC=Y&amp;PAGE=booktext&amp;D=books&amp;SC=02024433&amp;EPUB=Y")</f>
        <v>https://ovidsp.ovid.com/ovidweb.cgi?T=JS&amp;NEWS=n&amp;CSC=Y&amp;PAGE=booktext&amp;D=books&amp;SC=02024433&amp;EPUB=Y</v>
      </c>
      <c r="H502" s="8" t="s">
        <v>1795</v>
      </c>
    </row>
    <row r="503" spans="1:8" x14ac:dyDescent="0.3">
      <c r="A503" s="4" t="s">
        <v>1439</v>
      </c>
      <c r="B503" s="5">
        <v>44893</v>
      </c>
      <c r="C503" s="6" t="s">
        <v>2367</v>
      </c>
      <c r="D503" s="6" t="s">
        <v>1643</v>
      </c>
      <c r="E503" s="6" t="s">
        <v>2503</v>
      </c>
      <c r="F503" s="6" t="s">
        <v>1208</v>
      </c>
      <c r="G503" s="7" t="str">
        <f>HYPERLINK("https://ovidsp.ovid.com/ovidweb.cgi?T=JS&amp;NEWS=n&amp;CSC=Y&amp;PAGE=booktext&amp;D=books&amp;SC=01434332&amp;EPUB=Y","https://ovidsp.ovid.com/ovidweb.cgi?T=JS&amp;NEWS=n&amp;CSC=Y&amp;PAGE=booktext&amp;D=books&amp;SC=01434332&amp;EPUB=Y")</f>
        <v>https://ovidsp.ovid.com/ovidweb.cgi?T=JS&amp;NEWS=n&amp;CSC=Y&amp;PAGE=booktext&amp;D=books&amp;SC=01434332&amp;EPUB=Y</v>
      </c>
      <c r="H503" s="8" t="s">
        <v>1795</v>
      </c>
    </row>
    <row r="504" spans="1:8" x14ac:dyDescent="0.3">
      <c r="A504" s="4" t="s">
        <v>2282</v>
      </c>
      <c r="B504" s="5">
        <v>44893</v>
      </c>
      <c r="C504" s="6" t="s">
        <v>2367</v>
      </c>
      <c r="D504" s="6" t="s">
        <v>1643</v>
      </c>
      <c r="E504" s="6" t="s">
        <v>2503</v>
      </c>
      <c r="F504" s="6" t="s">
        <v>1208</v>
      </c>
      <c r="G504" s="7" t="str">
        <f>HYPERLINK("https://ovidsp.ovid.com/ovidweb.cgi?T=JS&amp;NEWS=n&amp;CSC=Y&amp;PAGE=booktext&amp;D=books&amp;SC=01434439&amp;EPUB=Y","https://ovidsp.ovid.com/ovidweb.cgi?T=JS&amp;NEWS=n&amp;CSC=Y&amp;PAGE=booktext&amp;D=books&amp;SC=01434439&amp;EPUB=Y")</f>
        <v>https://ovidsp.ovid.com/ovidweb.cgi?T=JS&amp;NEWS=n&amp;CSC=Y&amp;PAGE=booktext&amp;D=books&amp;SC=01434439&amp;EPUB=Y</v>
      </c>
      <c r="H504" s="8" t="s">
        <v>1795</v>
      </c>
    </row>
    <row r="505" spans="1:8" x14ac:dyDescent="0.3">
      <c r="A505" s="4" t="s">
        <v>2282</v>
      </c>
      <c r="B505" s="5">
        <v>44893</v>
      </c>
      <c r="C505" s="6" t="s">
        <v>1081</v>
      </c>
      <c r="D505" s="6" t="s">
        <v>452</v>
      </c>
      <c r="E505" s="6" t="s">
        <v>2503</v>
      </c>
      <c r="F505" s="6" t="s">
        <v>1208</v>
      </c>
      <c r="G505" s="7" t="str">
        <f>HYPERLINK("https://ovidsp.ovid.com/ovidweb.cgi?T=JS&amp;NEWS=n&amp;CSC=Y&amp;PAGE=booktext&amp;D=books&amp;SC=01694353&amp;EPUB=Y","https://ovidsp.ovid.com/ovidweb.cgi?T=JS&amp;NEWS=n&amp;CSC=Y&amp;PAGE=booktext&amp;D=books&amp;SC=01694353&amp;EPUB=Y")</f>
        <v>https://ovidsp.ovid.com/ovidweb.cgi?T=JS&amp;NEWS=n&amp;CSC=Y&amp;PAGE=booktext&amp;D=books&amp;SC=01694353&amp;EPUB=Y</v>
      </c>
      <c r="H505" s="8" t="s">
        <v>1795</v>
      </c>
    </row>
    <row r="506" spans="1:8" x14ac:dyDescent="0.3">
      <c r="A506" s="4" t="s">
        <v>2073</v>
      </c>
      <c r="B506" s="5">
        <v>44893</v>
      </c>
      <c r="C506" s="6" t="s">
        <v>2367</v>
      </c>
      <c r="D506" s="6" t="s">
        <v>1643</v>
      </c>
      <c r="E506" s="6" t="s">
        <v>2503</v>
      </c>
      <c r="F506" s="6" t="s">
        <v>1208</v>
      </c>
      <c r="G506" s="7" t="str">
        <f>HYPERLINK("https://ovidsp.ovid.com/ovidweb.cgi?T=JS&amp;NEWS=n&amp;CSC=Y&amp;PAGE=booktext&amp;D=books&amp;SC=01434418&amp;EPUB=Y","https://ovidsp.ovid.com/ovidweb.cgi?T=JS&amp;NEWS=n&amp;CSC=Y&amp;PAGE=booktext&amp;D=books&amp;SC=01434418&amp;EPUB=Y")</f>
        <v>https://ovidsp.ovid.com/ovidweb.cgi?T=JS&amp;NEWS=n&amp;CSC=Y&amp;PAGE=booktext&amp;D=books&amp;SC=01434418&amp;EPUB=Y</v>
      </c>
      <c r="H506" s="8" t="s">
        <v>1795</v>
      </c>
    </row>
    <row r="507" spans="1:8" x14ac:dyDescent="0.3">
      <c r="A507" s="4" t="s">
        <v>2592</v>
      </c>
      <c r="B507" s="5">
        <v>44893</v>
      </c>
      <c r="C507" s="6" t="s">
        <v>85</v>
      </c>
      <c r="D507" s="6" t="s">
        <v>283</v>
      </c>
      <c r="E507" s="6" t="s">
        <v>2503</v>
      </c>
      <c r="F507" s="6" t="s">
        <v>1208</v>
      </c>
      <c r="G507" s="7" t="str">
        <f>HYPERLINK("https://ovidsp.ovid.com/ovidweb.cgi?T=JS&amp;NEWS=n&amp;CSC=Y&amp;PAGE=booktext&amp;D=books&amp;SC=02054258&amp;EPUB=Y","https://ovidsp.ovid.com/ovidweb.cgi?T=JS&amp;NEWS=n&amp;CSC=Y&amp;PAGE=booktext&amp;D=books&amp;SC=02054258&amp;EPUB=Y")</f>
        <v>https://ovidsp.ovid.com/ovidweb.cgi?T=JS&amp;NEWS=n&amp;CSC=Y&amp;PAGE=booktext&amp;D=books&amp;SC=02054258&amp;EPUB=Y</v>
      </c>
      <c r="H507" s="8" t="s">
        <v>1795</v>
      </c>
    </row>
    <row r="508" spans="1:8" x14ac:dyDescent="0.3">
      <c r="A508" s="4" t="s">
        <v>17</v>
      </c>
      <c r="B508" s="5">
        <v>44893</v>
      </c>
      <c r="C508" s="6" t="s">
        <v>2367</v>
      </c>
      <c r="D508" s="6" t="s">
        <v>1643</v>
      </c>
      <c r="E508" s="6" t="s">
        <v>2503</v>
      </c>
      <c r="F508" s="6" t="s">
        <v>1208</v>
      </c>
      <c r="G508" s="7" t="str">
        <f>HYPERLINK("https://ovidsp.ovid.com/ovidweb.cgi?T=JS&amp;NEWS=n&amp;CSC=Y&amp;PAGE=booktext&amp;D=books&amp;SC=01434314&amp;EPUB=Y","https://ovidsp.ovid.com/ovidweb.cgi?T=JS&amp;NEWS=n&amp;CSC=Y&amp;PAGE=booktext&amp;D=books&amp;SC=01434314&amp;EPUB=Y")</f>
        <v>https://ovidsp.ovid.com/ovidweb.cgi?T=JS&amp;NEWS=n&amp;CSC=Y&amp;PAGE=booktext&amp;D=books&amp;SC=01434314&amp;EPUB=Y</v>
      </c>
      <c r="H508" s="8" t="s">
        <v>1795</v>
      </c>
    </row>
    <row r="509" spans="1:8" x14ac:dyDescent="0.3">
      <c r="A509" s="4" t="s">
        <v>1652</v>
      </c>
      <c r="B509" s="5">
        <v>44893</v>
      </c>
      <c r="C509" s="6" t="s">
        <v>2367</v>
      </c>
      <c r="D509" s="6" t="s">
        <v>1643</v>
      </c>
      <c r="E509" s="6" t="s">
        <v>2503</v>
      </c>
      <c r="F509" s="6" t="s">
        <v>1208</v>
      </c>
      <c r="G509" s="7" t="str">
        <f>HYPERLINK("https://ovidsp.ovid.com/ovidweb.cgi?T=JS&amp;NEWS=n&amp;CSC=Y&amp;PAGE=booktext&amp;D=books&amp;SC=01434392&amp;EPUB=Y","https://ovidsp.ovid.com/ovidweb.cgi?T=JS&amp;NEWS=n&amp;CSC=Y&amp;PAGE=booktext&amp;D=books&amp;SC=01434392&amp;EPUB=Y")</f>
        <v>https://ovidsp.ovid.com/ovidweb.cgi?T=JS&amp;NEWS=n&amp;CSC=Y&amp;PAGE=booktext&amp;D=books&amp;SC=01434392&amp;EPUB=Y</v>
      </c>
      <c r="H509" s="8" t="s">
        <v>1795</v>
      </c>
    </row>
    <row r="510" spans="1:8" x14ac:dyDescent="0.3">
      <c r="A510" s="4" t="s">
        <v>386</v>
      </c>
      <c r="B510" s="5">
        <v>44893</v>
      </c>
      <c r="C510" s="6" t="s">
        <v>1150</v>
      </c>
      <c r="D510" s="6" t="s">
        <v>1243</v>
      </c>
      <c r="E510" s="6" t="s">
        <v>2503</v>
      </c>
      <c r="F510" s="6" t="s">
        <v>1208</v>
      </c>
      <c r="G510" s="7" t="str">
        <f>HYPERLINK("https://ovidsp.ovid.com/ovidweb.cgi?T=JS&amp;NEWS=n&amp;CSC=Y&amp;PAGE=booktext&amp;D=books&amp;SC=01434587&amp;EPUB=Y","https://ovidsp.ovid.com/ovidweb.cgi?T=JS&amp;NEWS=n&amp;CSC=Y&amp;PAGE=booktext&amp;D=books&amp;SC=01434587&amp;EPUB=Y")</f>
        <v>https://ovidsp.ovid.com/ovidweb.cgi?T=JS&amp;NEWS=n&amp;CSC=Y&amp;PAGE=booktext&amp;D=books&amp;SC=01434587&amp;EPUB=Y</v>
      </c>
      <c r="H510" s="8" t="s">
        <v>1795</v>
      </c>
    </row>
    <row r="511" spans="1:8" x14ac:dyDescent="0.3">
      <c r="A511" s="4" t="s">
        <v>1713</v>
      </c>
      <c r="B511" s="5">
        <v>44893</v>
      </c>
      <c r="C511" s="6" t="s">
        <v>2382</v>
      </c>
      <c r="D511" s="6" t="s">
        <v>824</v>
      </c>
      <c r="E511" s="6" t="s">
        <v>2503</v>
      </c>
      <c r="F511" s="6" t="s">
        <v>1208</v>
      </c>
      <c r="G511" s="7" t="str">
        <f>HYPERLINK("https://ovidsp.ovid.com/ovidweb.cgi?T=JS&amp;NEWS=n&amp;CSC=Y&amp;PAGE=booktext&amp;D=books&amp;SC=01984706&amp;EPUB=Y","https://ovidsp.ovid.com/ovidweb.cgi?T=JS&amp;NEWS=n&amp;CSC=Y&amp;PAGE=booktext&amp;D=books&amp;SC=01984706&amp;EPUB=Y")</f>
        <v>https://ovidsp.ovid.com/ovidweb.cgi?T=JS&amp;NEWS=n&amp;CSC=Y&amp;PAGE=booktext&amp;D=books&amp;SC=01984706&amp;EPUB=Y</v>
      </c>
      <c r="H511" s="8" t="s">
        <v>1795</v>
      </c>
    </row>
    <row r="512" spans="1:8" x14ac:dyDescent="0.3">
      <c r="A512" s="4" t="s">
        <v>1012</v>
      </c>
      <c r="B512" s="5">
        <v>44893</v>
      </c>
      <c r="C512" s="6" t="s">
        <v>539</v>
      </c>
      <c r="D512" s="6" t="s">
        <v>2298</v>
      </c>
      <c r="E512" s="6" t="s">
        <v>2503</v>
      </c>
      <c r="F512" s="6" t="s">
        <v>1208</v>
      </c>
      <c r="G512" s="7" t="str">
        <f>HYPERLINK("https://ovidsp.ovid.com/ovidweb.cgi?T=JS&amp;NEWS=n&amp;CSC=Y&amp;PAGE=booktext&amp;D=books&amp;SC=01434660&amp;EPUB=Y","https://ovidsp.ovid.com/ovidweb.cgi?T=JS&amp;NEWS=n&amp;CSC=Y&amp;PAGE=booktext&amp;D=books&amp;SC=01434660&amp;EPUB=Y")</f>
        <v>https://ovidsp.ovid.com/ovidweb.cgi?T=JS&amp;NEWS=n&amp;CSC=Y&amp;PAGE=booktext&amp;D=books&amp;SC=01434660&amp;EPUB=Y</v>
      </c>
      <c r="H512" s="8" t="s">
        <v>1795</v>
      </c>
    </row>
    <row r="513" spans="1:8" x14ac:dyDescent="0.3">
      <c r="A513" s="4" t="s">
        <v>1143</v>
      </c>
      <c r="B513" s="5">
        <v>44893</v>
      </c>
      <c r="C513" s="6" t="s">
        <v>2367</v>
      </c>
      <c r="D513" s="6" t="s">
        <v>1643</v>
      </c>
      <c r="E513" s="6" t="s">
        <v>2503</v>
      </c>
      <c r="F513" s="6" t="s">
        <v>1208</v>
      </c>
      <c r="G513" s="7" t="str">
        <f>HYPERLINK("https://ovidsp.ovid.com/ovidweb.cgi?T=JS&amp;NEWS=n&amp;CSC=Y&amp;PAGE=booktext&amp;D=books&amp;SC=01434359&amp;EPUB=Y","https://ovidsp.ovid.com/ovidweb.cgi?T=JS&amp;NEWS=n&amp;CSC=Y&amp;PAGE=booktext&amp;D=books&amp;SC=01434359&amp;EPUB=Y")</f>
        <v>https://ovidsp.ovid.com/ovidweb.cgi?T=JS&amp;NEWS=n&amp;CSC=Y&amp;PAGE=booktext&amp;D=books&amp;SC=01434359&amp;EPUB=Y</v>
      </c>
      <c r="H513" s="8" t="s">
        <v>1795</v>
      </c>
    </row>
    <row r="514" spans="1:8" x14ac:dyDescent="0.3">
      <c r="A514" s="4" t="s">
        <v>2203</v>
      </c>
      <c r="B514" s="5">
        <v>44893</v>
      </c>
      <c r="C514" s="6" t="s">
        <v>1529</v>
      </c>
      <c r="D514" s="6" t="s">
        <v>931</v>
      </c>
      <c r="E514" s="6" t="s">
        <v>2503</v>
      </c>
      <c r="F514" s="6" t="s">
        <v>1208</v>
      </c>
      <c r="G514" s="7" t="str">
        <f>HYPERLINK("https://ovidsp.ovid.com/ovidweb.cgi?T=JS&amp;NEWS=n&amp;CSC=Y&amp;PAGE=booktext&amp;D=books&amp;SC=01434586&amp;EPUB=Y","https://ovidsp.ovid.com/ovidweb.cgi?T=JS&amp;NEWS=n&amp;CSC=Y&amp;PAGE=booktext&amp;D=books&amp;SC=01434586&amp;EPUB=Y")</f>
        <v>https://ovidsp.ovid.com/ovidweb.cgi?T=JS&amp;NEWS=n&amp;CSC=Y&amp;PAGE=booktext&amp;D=books&amp;SC=01434586&amp;EPUB=Y</v>
      </c>
      <c r="H514" s="8" t="s">
        <v>1795</v>
      </c>
    </row>
    <row r="515" spans="1:8" x14ac:dyDescent="0.3">
      <c r="A515" s="4" t="s">
        <v>1551</v>
      </c>
      <c r="B515" s="5">
        <v>44893</v>
      </c>
      <c r="C515" s="6" t="s">
        <v>397</v>
      </c>
      <c r="D515" s="6" t="s">
        <v>756</v>
      </c>
      <c r="E515" s="6" t="s">
        <v>2503</v>
      </c>
      <c r="F515" s="6" t="s">
        <v>1208</v>
      </c>
      <c r="G515" s="7" t="str">
        <f>HYPERLINK("https://ovidsp.ovid.com/ovidweb.cgi?T=JS&amp;NEWS=n&amp;CSC=Y&amp;PAGE=booktext&amp;D=books&amp;SC=01965236&amp;EPUB=Y","https://ovidsp.ovid.com/ovidweb.cgi?T=JS&amp;NEWS=n&amp;CSC=Y&amp;PAGE=booktext&amp;D=books&amp;SC=01965236&amp;EPUB=Y")</f>
        <v>https://ovidsp.ovid.com/ovidweb.cgi?T=JS&amp;NEWS=n&amp;CSC=Y&amp;PAGE=booktext&amp;D=books&amp;SC=01965236&amp;EPUB=Y</v>
      </c>
      <c r="H515" s="8" t="s">
        <v>1795</v>
      </c>
    </row>
    <row r="516" spans="1:8" x14ac:dyDescent="0.3">
      <c r="A516" s="4" t="s">
        <v>877</v>
      </c>
      <c r="B516" s="5">
        <v>44893</v>
      </c>
      <c r="C516" s="6" t="s">
        <v>2367</v>
      </c>
      <c r="D516" s="6" t="s">
        <v>1643</v>
      </c>
      <c r="E516" s="6" t="s">
        <v>2503</v>
      </c>
      <c r="F516" s="6" t="s">
        <v>1208</v>
      </c>
      <c r="G516" s="7" t="str">
        <f>HYPERLINK("https://ovidsp.ovid.com/ovidweb.cgi?T=JS&amp;NEWS=n&amp;CSC=Y&amp;PAGE=booktext&amp;D=books&amp;SC=01434507&amp;EPUB=Y","https://ovidsp.ovid.com/ovidweb.cgi?T=JS&amp;NEWS=n&amp;CSC=Y&amp;PAGE=booktext&amp;D=books&amp;SC=01434507&amp;EPUB=Y")</f>
        <v>https://ovidsp.ovid.com/ovidweb.cgi?T=JS&amp;NEWS=n&amp;CSC=Y&amp;PAGE=booktext&amp;D=books&amp;SC=01434507&amp;EPUB=Y</v>
      </c>
      <c r="H516" s="8" t="s">
        <v>1795</v>
      </c>
    </row>
    <row r="517" spans="1:8" x14ac:dyDescent="0.3">
      <c r="A517" s="4" t="s">
        <v>1912</v>
      </c>
      <c r="B517" s="5">
        <v>44893</v>
      </c>
      <c r="C517" s="6" t="s">
        <v>1516</v>
      </c>
      <c r="D517" s="6" t="s">
        <v>2076</v>
      </c>
      <c r="E517" s="6" t="s">
        <v>2503</v>
      </c>
      <c r="F517" s="6" t="s">
        <v>1208</v>
      </c>
      <c r="G517" s="7" t="str">
        <f>HYPERLINK("https://ovidsp.ovid.com/ovidweb.cgi?T=JS&amp;NEWS=n&amp;CSC=Y&amp;PAGE=booktext&amp;D=books&amp;SC=02233685&amp;EPUB=Y","https://ovidsp.ovid.com/ovidweb.cgi?T=JS&amp;NEWS=n&amp;CSC=Y&amp;PAGE=booktext&amp;D=books&amp;SC=02233685&amp;EPUB=Y")</f>
        <v>https://ovidsp.ovid.com/ovidweb.cgi?T=JS&amp;NEWS=n&amp;CSC=Y&amp;PAGE=booktext&amp;D=books&amp;SC=02233685&amp;EPUB=Y</v>
      </c>
      <c r="H517" s="8" t="s">
        <v>1795</v>
      </c>
    </row>
    <row r="518" spans="1:8" x14ac:dyDescent="0.3">
      <c r="A518" s="4" t="s">
        <v>819</v>
      </c>
      <c r="B518" s="5">
        <v>44893</v>
      </c>
      <c r="C518" s="6" t="s">
        <v>1152</v>
      </c>
      <c r="D518" s="6" t="s">
        <v>2387</v>
      </c>
      <c r="E518" s="6" t="s">
        <v>2503</v>
      </c>
      <c r="F518" s="6" t="s">
        <v>1208</v>
      </c>
      <c r="G518" s="7" t="str">
        <f>HYPERLINK("https://ovidsp.ovid.com/ovidweb.cgi?T=JS&amp;NEWS=n&amp;CSC=Y&amp;PAGE=booktext&amp;D=books&amp;SC=01768411&amp;EPUB=Y","https://ovidsp.ovid.com/ovidweb.cgi?T=JS&amp;NEWS=n&amp;CSC=Y&amp;PAGE=booktext&amp;D=books&amp;SC=01768411&amp;EPUB=Y")</f>
        <v>https://ovidsp.ovid.com/ovidweb.cgi?T=JS&amp;NEWS=n&amp;CSC=Y&amp;PAGE=booktext&amp;D=books&amp;SC=01768411&amp;EPUB=Y</v>
      </c>
      <c r="H518" s="8" t="s">
        <v>1795</v>
      </c>
    </row>
    <row r="519" spans="1:8" x14ac:dyDescent="0.3">
      <c r="A519" s="4" t="s">
        <v>679</v>
      </c>
      <c r="B519" s="5">
        <v>44893</v>
      </c>
      <c r="C519" s="6" t="s">
        <v>2435</v>
      </c>
      <c r="D519" s="6" t="s">
        <v>1334</v>
      </c>
      <c r="E519" s="6" t="s">
        <v>2503</v>
      </c>
      <c r="F519" s="6" t="s">
        <v>1208</v>
      </c>
      <c r="G519" s="7" t="str">
        <f>HYPERLINK("https://ovidsp.ovid.com/ovidweb.cgi?T=JS&amp;NEWS=n&amp;CSC=Y&amp;PAGE=booktext&amp;D=books&amp;SC=01436781&amp;EPUB=Y","https://ovidsp.ovid.com/ovidweb.cgi?T=JS&amp;NEWS=n&amp;CSC=Y&amp;PAGE=booktext&amp;D=books&amp;SC=01436781&amp;EPUB=Y")</f>
        <v>https://ovidsp.ovid.com/ovidweb.cgi?T=JS&amp;NEWS=n&amp;CSC=Y&amp;PAGE=booktext&amp;D=books&amp;SC=01436781&amp;EPUB=Y</v>
      </c>
      <c r="H519" s="8" t="s">
        <v>1795</v>
      </c>
    </row>
    <row r="520" spans="1:8" x14ac:dyDescent="0.3">
      <c r="A520" s="4" t="s">
        <v>2102</v>
      </c>
      <c r="B520" s="5">
        <v>44893</v>
      </c>
      <c r="C520" s="6" t="s">
        <v>930</v>
      </c>
      <c r="D520" s="6" t="s">
        <v>348</v>
      </c>
      <c r="E520" s="6" t="s">
        <v>2503</v>
      </c>
      <c r="F520" s="6" t="s">
        <v>1208</v>
      </c>
      <c r="G520" s="7" t="str">
        <f>HYPERLINK("https://ovidsp.ovid.com/ovidweb.cgi?T=JS&amp;NEWS=n&amp;CSC=Y&amp;PAGE=booktext&amp;D=books&amp;SC=02272608&amp;EPUB=Y","https://ovidsp.ovid.com/ovidweb.cgi?T=JS&amp;NEWS=n&amp;CSC=Y&amp;PAGE=booktext&amp;D=books&amp;SC=02272608&amp;EPUB=Y")</f>
        <v>https://ovidsp.ovid.com/ovidweb.cgi?T=JS&amp;NEWS=n&amp;CSC=Y&amp;PAGE=booktext&amp;D=books&amp;SC=02272608&amp;EPUB=Y</v>
      </c>
      <c r="H520" s="8" t="s">
        <v>1795</v>
      </c>
    </row>
    <row r="521" spans="1:8" x14ac:dyDescent="0.3">
      <c r="A521" s="4" t="s">
        <v>2375</v>
      </c>
      <c r="B521" s="5">
        <v>44893</v>
      </c>
      <c r="C521" s="6" t="s">
        <v>610</v>
      </c>
      <c r="D521" s="6" t="s">
        <v>148</v>
      </c>
      <c r="E521" s="6" t="s">
        <v>2503</v>
      </c>
      <c r="F521" s="6" t="s">
        <v>1208</v>
      </c>
      <c r="G521" s="7" t="str">
        <f>HYPERLINK("https://ovidsp.ovid.com/ovidweb.cgi?T=JS&amp;NEWS=n&amp;CSC=Y&amp;PAGE=booktext&amp;D=books&amp;SC=01906643&amp;EPUB=Y","https://ovidsp.ovid.com/ovidweb.cgi?T=JS&amp;NEWS=n&amp;CSC=Y&amp;PAGE=booktext&amp;D=books&amp;SC=01906643&amp;EPUB=Y")</f>
        <v>https://ovidsp.ovid.com/ovidweb.cgi?T=JS&amp;NEWS=n&amp;CSC=Y&amp;PAGE=booktext&amp;D=books&amp;SC=01906643&amp;EPUB=Y</v>
      </c>
      <c r="H521" s="8" t="s">
        <v>1795</v>
      </c>
    </row>
    <row r="522" spans="1:8" x14ac:dyDescent="0.3">
      <c r="A522" s="4" t="s">
        <v>1211</v>
      </c>
      <c r="B522" s="5">
        <v>44893</v>
      </c>
      <c r="C522" s="6" t="s">
        <v>2367</v>
      </c>
      <c r="D522" s="6" t="s">
        <v>1643</v>
      </c>
      <c r="E522" s="6" t="s">
        <v>2503</v>
      </c>
      <c r="F522" s="6" t="s">
        <v>1208</v>
      </c>
      <c r="G522" s="7" t="str">
        <f>HYPERLINK("https://ovidsp.ovid.com/ovidweb.cgi?T=JS&amp;NEWS=n&amp;CSC=Y&amp;PAGE=booktext&amp;D=books&amp;SC=01434448&amp;EPUB=Y","https://ovidsp.ovid.com/ovidweb.cgi?T=JS&amp;NEWS=n&amp;CSC=Y&amp;PAGE=booktext&amp;D=books&amp;SC=01434448&amp;EPUB=Y")</f>
        <v>https://ovidsp.ovid.com/ovidweb.cgi?T=JS&amp;NEWS=n&amp;CSC=Y&amp;PAGE=booktext&amp;D=books&amp;SC=01434448&amp;EPUB=Y</v>
      </c>
      <c r="H522" s="8" t="s">
        <v>1795</v>
      </c>
    </row>
    <row r="523" spans="1:8" x14ac:dyDescent="0.3">
      <c r="A523" s="4" t="s">
        <v>787</v>
      </c>
      <c r="B523" s="5">
        <v>44893</v>
      </c>
      <c r="C523" s="6" t="s">
        <v>1220</v>
      </c>
      <c r="D523" s="6" t="s">
        <v>1096</v>
      </c>
      <c r="E523" s="6" t="s">
        <v>2503</v>
      </c>
      <c r="F523" s="6" t="s">
        <v>1208</v>
      </c>
      <c r="G523" s="7" t="str">
        <f>HYPERLINK("https://ovidsp.ovid.com/ovidweb.cgi?T=JS&amp;NEWS=n&amp;CSC=Y&amp;PAGE=booktext&amp;D=books&amp;SC=02081098&amp;EPUB=Y","https://ovidsp.ovid.com/ovidweb.cgi?T=JS&amp;NEWS=n&amp;CSC=Y&amp;PAGE=booktext&amp;D=books&amp;SC=02081098&amp;EPUB=Y")</f>
        <v>https://ovidsp.ovid.com/ovidweb.cgi?T=JS&amp;NEWS=n&amp;CSC=Y&amp;PAGE=booktext&amp;D=books&amp;SC=02081098&amp;EPUB=Y</v>
      </c>
      <c r="H523" s="8" t="s">
        <v>1795</v>
      </c>
    </row>
    <row r="524" spans="1:8" x14ac:dyDescent="0.3">
      <c r="A524" s="4" t="s">
        <v>183</v>
      </c>
      <c r="B524" s="5">
        <v>44893</v>
      </c>
      <c r="C524" s="6" t="s">
        <v>842</v>
      </c>
      <c r="D524" s="6" t="s">
        <v>659</v>
      </c>
      <c r="E524" s="6" t="s">
        <v>2503</v>
      </c>
      <c r="F524" s="6" t="s">
        <v>1208</v>
      </c>
      <c r="G524" s="7" t="str">
        <f>HYPERLINK("https://ovidsp.ovid.com/ovidweb.cgi?T=JS&amp;NEWS=n&amp;CSC=Y&amp;PAGE=booktext&amp;D=books&amp;SC=01626543&amp;EPUB=Y","https://ovidsp.ovid.com/ovidweb.cgi?T=JS&amp;NEWS=n&amp;CSC=Y&amp;PAGE=booktext&amp;D=books&amp;SC=01626543&amp;EPUB=Y")</f>
        <v>https://ovidsp.ovid.com/ovidweb.cgi?T=JS&amp;NEWS=n&amp;CSC=Y&amp;PAGE=booktext&amp;D=books&amp;SC=01626543&amp;EPUB=Y</v>
      </c>
      <c r="H524" s="8" t="s">
        <v>1795</v>
      </c>
    </row>
    <row r="525" spans="1:8" x14ac:dyDescent="0.3">
      <c r="A525" s="4" t="s">
        <v>1133</v>
      </c>
      <c r="B525" s="5">
        <v>44893</v>
      </c>
      <c r="C525" s="6" t="s">
        <v>2367</v>
      </c>
      <c r="D525" s="6" t="s">
        <v>1643</v>
      </c>
      <c r="E525" s="6" t="s">
        <v>2503</v>
      </c>
      <c r="F525" s="6" t="s">
        <v>1208</v>
      </c>
      <c r="G525" s="7" t="str">
        <f>HYPERLINK("https://ovidsp.ovid.com/ovidweb.cgi?T=JS&amp;NEWS=n&amp;CSC=Y&amp;PAGE=booktext&amp;D=books&amp;SC=01434276&amp;EPUB=Y","https://ovidsp.ovid.com/ovidweb.cgi?T=JS&amp;NEWS=n&amp;CSC=Y&amp;PAGE=booktext&amp;D=books&amp;SC=01434276&amp;EPUB=Y")</f>
        <v>https://ovidsp.ovid.com/ovidweb.cgi?T=JS&amp;NEWS=n&amp;CSC=Y&amp;PAGE=booktext&amp;D=books&amp;SC=01434276&amp;EPUB=Y</v>
      </c>
      <c r="H525" s="8" t="s">
        <v>1795</v>
      </c>
    </row>
    <row r="526" spans="1:8" x14ac:dyDescent="0.3">
      <c r="A526" s="4" t="s">
        <v>1936</v>
      </c>
      <c r="B526" s="5">
        <v>44893</v>
      </c>
      <c r="C526" s="6" t="s">
        <v>810</v>
      </c>
      <c r="D526" s="6" t="s">
        <v>762</v>
      </c>
      <c r="E526" s="6" t="s">
        <v>2503</v>
      </c>
      <c r="F526" s="6" t="s">
        <v>1208</v>
      </c>
      <c r="G526" s="7" t="str">
        <f>HYPERLINK("https://ovidsp.ovid.com/ovidweb.cgi?T=JS&amp;NEWS=n&amp;CSC=Y&amp;PAGE=booktext&amp;D=books&amp;SC=02233684&amp;EPUB=Y","https://ovidsp.ovid.com/ovidweb.cgi?T=JS&amp;NEWS=n&amp;CSC=Y&amp;PAGE=booktext&amp;D=books&amp;SC=02233684&amp;EPUB=Y")</f>
        <v>https://ovidsp.ovid.com/ovidweb.cgi?T=JS&amp;NEWS=n&amp;CSC=Y&amp;PAGE=booktext&amp;D=books&amp;SC=02233684&amp;EPUB=Y</v>
      </c>
      <c r="H526" s="8" t="s">
        <v>1795</v>
      </c>
    </row>
    <row r="527" spans="1:8" x14ac:dyDescent="0.3">
      <c r="A527" s="4" t="s">
        <v>1137</v>
      </c>
      <c r="B527" s="5">
        <v>44893</v>
      </c>
      <c r="C527" s="6" t="s">
        <v>357</v>
      </c>
      <c r="D527" s="6" t="s">
        <v>701</v>
      </c>
      <c r="E527" s="6" t="s">
        <v>2503</v>
      </c>
      <c r="F527" s="6" t="s">
        <v>1208</v>
      </c>
      <c r="G527" s="7" t="str">
        <f>HYPERLINK("https://ovidsp.ovid.com/ovidweb.cgi?T=JS&amp;NEWS=n&amp;CSC=Y&amp;PAGE=booktext&amp;D=books&amp;SC=01647959&amp;EPUB=Y","https://ovidsp.ovid.com/ovidweb.cgi?T=JS&amp;NEWS=n&amp;CSC=Y&amp;PAGE=booktext&amp;D=books&amp;SC=01647959&amp;EPUB=Y")</f>
        <v>https://ovidsp.ovid.com/ovidweb.cgi?T=JS&amp;NEWS=n&amp;CSC=Y&amp;PAGE=booktext&amp;D=books&amp;SC=01647959&amp;EPUB=Y</v>
      </c>
      <c r="H527" s="8" t="s">
        <v>1795</v>
      </c>
    </row>
    <row r="528" spans="1:8" x14ac:dyDescent="0.3">
      <c r="A528" s="4" t="s">
        <v>2361</v>
      </c>
      <c r="B528" s="5">
        <v>44893</v>
      </c>
      <c r="C528" s="6" t="s">
        <v>185</v>
      </c>
      <c r="D528" s="6" t="s">
        <v>1898</v>
      </c>
      <c r="E528" s="6" t="s">
        <v>2503</v>
      </c>
      <c r="F528" s="6" t="s">
        <v>241</v>
      </c>
      <c r="G528" s="7" t="str">
        <f>HYPERLINK("https://ovidsp.ovid.com/ovidweb.cgi?T=JS&amp;NEWS=n&amp;CSC=Y&amp;PAGE=booktext&amp;D=books&amp;SC=01990644&amp;EPUB=Y","https://ovidsp.ovid.com/ovidweb.cgi?T=JS&amp;NEWS=n&amp;CSC=Y&amp;PAGE=booktext&amp;D=books&amp;SC=01990644&amp;EPUB=Y")</f>
        <v>https://ovidsp.ovid.com/ovidweb.cgi?T=JS&amp;NEWS=n&amp;CSC=Y&amp;PAGE=booktext&amp;D=books&amp;SC=01990644&amp;EPUB=Y</v>
      </c>
      <c r="H528" s="8" t="s">
        <v>1795</v>
      </c>
    </row>
    <row r="529" spans="1:8" x14ac:dyDescent="0.3">
      <c r="A529" s="4" t="s">
        <v>1061</v>
      </c>
      <c r="B529" s="5">
        <v>44893</v>
      </c>
      <c r="C529" s="6" t="s">
        <v>1668</v>
      </c>
      <c r="D529" s="6" t="s">
        <v>1620</v>
      </c>
      <c r="E529" s="6" t="s">
        <v>2503</v>
      </c>
      <c r="F529" s="6" t="s">
        <v>1208</v>
      </c>
      <c r="G529" s="7" t="str">
        <f>HYPERLINK("https://ovidsp.ovid.com/ovidweb.cgi?T=JS&amp;NEWS=n&amp;CSC=Y&amp;PAGE=booktext&amp;D=books&amp;SC=01838255&amp;EPUB=Y","https://ovidsp.ovid.com/ovidweb.cgi?T=JS&amp;NEWS=n&amp;CSC=Y&amp;PAGE=booktext&amp;D=books&amp;SC=01838255&amp;EPUB=Y")</f>
        <v>https://ovidsp.ovid.com/ovidweb.cgi?T=JS&amp;NEWS=n&amp;CSC=Y&amp;PAGE=booktext&amp;D=books&amp;SC=01838255&amp;EPUB=Y</v>
      </c>
      <c r="H529" s="8" t="s">
        <v>1795</v>
      </c>
    </row>
    <row r="530" spans="1:8" x14ac:dyDescent="0.3">
      <c r="A530" s="4" t="s">
        <v>2346</v>
      </c>
      <c r="B530" s="5">
        <v>44893</v>
      </c>
      <c r="C530" s="6" t="s">
        <v>1777</v>
      </c>
      <c r="D530" s="6" t="s">
        <v>373</v>
      </c>
      <c r="E530" s="6" t="s">
        <v>2503</v>
      </c>
      <c r="F530" s="6" t="s">
        <v>1208</v>
      </c>
      <c r="G530" s="7" t="str">
        <f>HYPERLINK("https://ovidsp.ovid.com/ovidweb.cgi?T=JS&amp;NEWS=n&amp;CSC=Y&amp;PAGE=booktext&amp;D=books&amp;SC=02091935&amp;EPUB=Y","https://ovidsp.ovid.com/ovidweb.cgi?T=JS&amp;NEWS=n&amp;CSC=Y&amp;PAGE=booktext&amp;D=books&amp;SC=02091935&amp;EPUB=Y")</f>
        <v>https://ovidsp.ovid.com/ovidweb.cgi?T=JS&amp;NEWS=n&amp;CSC=Y&amp;PAGE=booktext&amp;D=books&amp;SC=02091935&amp;EPUB=Y</v>
      </c>
      <c r="H530" s="8" t="s">
        <v>1795</v>
      </c>
    </row>
    <row r="531" spans="1:8" x14ac:dyDescent="0.3">
      <c r="A531" s="4" t="s">
        <v>1071</v>
      </c>
      <c r="B531" s="5">
        <v>44893</v>
      </c>
      <c r="C531" s="6" t="s">
        <v>2367</v>
      </c>
      <c r="D531" s="6" t="s">
        <v>1643</v>
      </c>
      <c r="E531" s="6" t="s">
        <v>2503</v>
      </c>
      <c r="F531" s="6" t="s">
        <v>1208</v>
      </c>
      <c r="G531" s="7" t="str">
        <f>HYPERLINK("https://ovidsp.ovid.com/ovidweb.cgi?T=JS&amp;NEWS=n&amp;CSC=Y&amp;PAGE=booktext&amp;D=books&amp;SC=01434254&amp;EPUB=Y","https://ovidsp.ovid.com/ovidweb.cgi?T=JS&amp;NEWS=n&amp;CSC=Y&amp;PAGE=booktext&amp;D=books&amp;SC=01434254&amp;EPUB=Y")</f>
        <v>https://ovidsp.ovid.com/ovidweb.cgi?T=JS&amp;NEWS=n&amp;CSC=Y&amp;PAGE=booktext&amp;D=books&amp;SC=01434254&amp;EPUB=Y</v>
      </c>
      <c r="H531" s="8" t="s">
        <v>1795</v>
      </c>
    </row>
    <row r="532" spans="1:8" x14ac:dyDescent="0.3">
      <c r="A532" s="4" t="s">
        <v>2124</v>
      </c>
      <c r="B532" s="5">
        <v>44893</v>
      </c>
      <c r="C532" s="6" t="s">
        <v>2367</v>
      </c>
      <c r="D532" s="6" t="s">
        <v>1643</v>
      </c>
      <c r="E532" s="6" t="s">
        <v>2503</v>
      </c>
      <c r="F532" s="6" t="s">
        <v>1208</v>
      </c>
      <c r="G532" s="7" t="str">
        <f>HYPERLINK("https://ovidsp.ovid.com/ovidweb.cgi?T=JS&amp;NEWS=n&amp;CSC=Y&amp;PAGE=booktext&amp;D=books&amp;SC=01434471&amp;EPUB=Y","https://ovidsp.ovid.com/ovidweb.cgi?T=JS&amp;NEWS=n&amp;CSC=Y&amp;PAGE=booktext&amp;D=books&amp;SC=01434471&amp;EPUB=Y")</f>
        <v>https://ovidsp.ovid.com/ovidweb.cgi?T=JS&amp;NEWS=n&amp;CSC=Y&amp;PAGE=booktext&amp;D=books&amp;SC=01434471&amp;EPUB=Y</v>
      </c>
      <c r="H532" s="8" t="s">
        <v>1795</v>
      </c>
    </row>
    <row r="533" spans="1:8" x14ac:dyDescent="0.3">
      <c r="A533" s="4" t="s">
        <v>1391</v>
      </c>
      <c r="B533" s="5">
        <v>44893</v>
      </c>
      <c r="C533" s="6" t="s">
        <v>2367</v>
      </c>
      <c r="D533" s="6" t="s">
        <v>1643</v>
      </c>
      <c r="E533" s="6" t="s">
        <v>2503</v>
      </c>
      <c r="F533" s="6" t="s">
        <v>1208</v>
      </c>
      <c r="G533" s="7" t="str">
        <f>HYPERLINK("https://ovidsp.ovid.com/ovidweb.cgi?T=JS&amp;NEWS=n&amp;CSC=Y&amp;PAGE=booktext&amp;D=books&amp;SC=01434475&amp;EPUB=Y","https://ovidsp.ovid.com/ovidweb.cgi?T=JS&amp;NEWS=n&amp;CSC=Y&amp;PAGE=booktext&amp;D=books&amp;SC=01434475&amp;EPUB=Y")</f>
        <v>https://ovidsp.ovid.com/ovidweb.cgi?T=JS&amp;NEWS=n&amp;CSC=Y&amp;PAGE=booktext&amp;D=books&amp;SC=01434475&amp;EPUB=Y</v>
      </c>
      <c r="H533" s="8" t="s">
        <v>1795</v>
      </c>
    </row>
    <row r="534" spans="1:8" x14ac:dyDescent="0.3">
      <c r="A534" s="4" t="s">
        <v>2533</v>
      </c>
      <c r="B534" s="5">
        <v>44893</v>
      </c>
      <c r="C534" s="6" t="s">
        <v>2283</v>
      </c>
      <c r="D534" s="6" t="s">
        <v>1704</v>
      </c>
      <c r="E534" s="6" t="s">
        <v>2503</v>
      </c>
      <c r="F534" s="6" t="s">
        <v>1208</v>
      </c>
      <c r="G534" s="7" t="str">
        <f>HYPERLINK("https://ovidsp.ovid.com/ovidweb.cgi?T=JS&amp;NEWS=n&amp;CSC=Y&amp;PAGE=booktext&amp;D=books&amp;SC=01436859&amp;EPUB=Y","https://ovidsp.ovid.com/ovidweb.cgi?T=JS&amp;NEWS=n&amp;CSC=Y&amp;PAGE=booktext&amp;D=books&amp;SC=01436859&amp;EPUB=Y")</f>
        <v>https://ovidsp.ovid.com/ovidweb.cgi?T=JS&amp;NEWS=n&amp;CSC=Y&amp;PAGE=booktext&amp;D=books&amp;SC=01436859&amp;EPUB=Y</v>
      </c>
      <c r="H534" s="8" t="s">
        <v>1795</v>
      </c>
    </row>
    <row r="535" spans="1:8" x14ac:dyDescent="0.3">
      <c r="A535" s="4" t="s">
        <v>1859</v>
      </c>
      <c r="B535" s="5">
        <v>44893</v>
      </c>
      <c r="C535" s="6" t="s">
        <v>109</v>
      </c>
      <c r="D535" s="6" t="s">
        <v>962</v>
      </c>
      <c r="E535" s="6" t="s">
        <v>2503</v>
      </c>
      <c r="F535" s="6" t="s">
        <v>1208</v>
      </c>
      <c r="G535" s="7" t="str">
        <f>HYPERLINK("https://ovidsp.ovid.com/ovidweb.cgi?T=JS&amp;NEWS=n&amp;CSC=Y&amp;PAGE=booktext&amp;D=books&amp;SC=01434583&amp;EPUB=Y","https://ovidsp.ovid.com/ovidweb.cgi?T=JS&amp;NEWS=n&amp;CSC=Y&amp;PAGE=booktext&amp;D=books&amp;SC=01434583&amp;EPUB=Y")</f>
        <v>https://ovidsp.ovid.com/ovidweb.cgi?T=JS&amp;NEWS=n&amp;CSC=Y&amp;PAGE=booktext&amp;D=books&amp;SC=01434583&amp;EPUB=Y</v>
      </c>
      <c r="H535" s="8" t="s">
        <v>1795</v>
      </c>
    </row>
    <row r="536" spans="1:8" x14ac:dyDescent="0.3">
      <c r="A536" s="4" t="s">
        <v>1560</v>
      </c>
      <c r="B536" s="5">
        <v>44893</v>
      </c>
      <c r="C536" s="6" t="s">
        <v>215</v>
      </c>
      <c r="D536" s="6" t="s">
        <v>697</v>
      </c>
      <c r="E536" s="6" t="s">
        <v>2503</v>
      </c>
      <c r="F536" s="6" t="s">
        <v>1208</v>
      </c>
      <c r="G536" s="7" t="str">
        <f>HYPERLINK("https://ovidsp.ovid.com/ovidweb.cgi?T=JS&amp;NEWS=n&amp;CSC=Y&amp;PAGE=booktext&amp;D=books&amp;SC=01434592&amp;EPUB=Y","https://ovidsp.ovid.com/ovidweb.cgi?T=JS&amp;NEWS=n&amp;CSC=Y&amp;PAGE=booktext&amp;D=books&amp;SC=01434592&amp;EPUB=Y")</f>
        <v>https://ovidsp.ovid.com/ovidweb.cgi?T=JS&amp;NEWS=n&amp;CSC=Y&amp;PAGE=booktext&amp;D=books&amp;SC=01434592&amp;EPUB=Y</v>
      </c>
      <c r="H536" s="8" t="s">
        <v>1795</v>
      </c>
    </row>
    <row r="537" spans="1:8" x14ac:dyDescent="0.3">
      <c r="A537" s="4" t="s">
        <v>130</v>
      </c>
      <c r="B537" s="5">
        <v>44893</v>
      </c>
      <c r="C537" s="6" t="s">
        <v>800</v>
      </c>
      <c r="D537" s="6" t="s">
        <v>505</v>
      </c>
      <c r="E537" s="6" t="s">
        <v>2503</v>
      </c>
      <c r="F537" s="6" t="s">
        <v>1208</v>
      </c>
      <c r="G537" s="7" t="str">
        <f>HYPERLINK("https://ovidsp.ovid.com/ovidweb.cgi?T=JS&amp;NEWS=n&amp;CSC=Y&amp;PAGE=booktext&amp;D=books&amp;SC=02118337&amp;EPUB=Y","https://ovidsp.ovid.com/ovidweb.cgi?T=JS&amp;NEWS=n&amp;CSC=Y&amp;PAGE=booktext&amp;D=books&amp;SC=02118337&amp;EPUB=Y")</f>
        <v>https://ovidsp.ovid.com/ovidweb.cgi?T=JS&amp;NEWS=n&amp;CSC=Y&amp;PAGE=booktext&amp;D=books&amp;SC=02118337&amp;EPUB=Y</v>
      </c>
      <c r="H537" s="8" t="s">
        <v>1795</v>
      </c>
    </row>
    <row r="538" spans="1:8" x14ac:dyDescent="0.3">
      <c r="A538" s="4" t="s">
        <v>1648</v>
      </c>
      <c r="B538" s="5">
        <v>44893</v>
      </c>
      <c r="C538" s="6" t="s">
        <v>1633</v>
      </c>
      <c r="D538" s="6" t="s">
        <v>2458</v>
      </c>
      <c r="E538" s="6" t="s">
        <v>2503</v>
      </c>
      <c r="F538" s="6" t="s">
        <v>1208</v>
      </c>
      <c r="G538" s="7" t="str">
        <f>HYPERLINK("https://ovidsp.ovid.com/ovidweb.cgi?T=JS&amp;NEWS=n&amp;CSC=Y&amp;PAGE=booktext&amp;D=books&amp;SC=01515471&amp;EPUB=Y","https://ovidsp.ovid.com/ovidweb.cgi?T=JS&amp;NEWS=n&amp;CSC=Y&amp;PAGE=booktext&amp;D=books&amp;SC=01515471&amp;EPUB=Y")</f>
        <v>https://ovidsp.ovid.com/ovidweb.cgi?T=JS&amp;NEWS=n&amp;CSC=Y&amp;PAGE=booktext&amp;D=books&amp;SC=01515471&amp;EPUB=Y</v>
      </c>
      <c r="H538" s="8" t="s">
        <v>1795</v>
      </c>
    </row>
    <row r="539" spans="1:8" x14ac:dyDescent="0.3">
      <c r="A539" s="4" t="s">
        <v>944</v>
      </c>
      <c r="B539" s="5">
        <v>44893</v>
      </c>
      <c r="C539" s="6" t="s">
        <v>108</v>
      </c>
      <c r="D539" s="6" t="s">
        <v>1883</v>
      </c>
      <c r="E539" s="6" t="s">
        <v>2503</v>
      </c>
      <c r="F539" s="6" t="s">
        <v>1208</v>
      </c>
      <c r="G539" s="7" t="str">
        <f>HYPERLINK("https://ovidsp.ovid.com/ovidweb.cgi?T=JS&amp;NEWS=n&amp;CSC=Y&amp;PAGE=booktext&amp;D=books&amp;SC=01434618&amp;EPUB=Y","https://ovidsp.ovid.com/ovidweb.cgi?T=JS&amp;NEWS=n&amp;CSC=Y&amp;PAGE=booktext&amp;D=books&amp;SC=01434618&amp;EPUB=Y")</f>
        <v>https://ovidsp.ovid.com/ovidweb.cgi?T=JS&amp;NEWS=n&amp;CSC=Y&amp;PAGE=booktext&amp;D=books&amp;SC=01434618&amp;EPUB=Y</v>
      </c>
      <c r="H539" s="8" t="s">
        <v>1795</v>
      </c>
    </row>
    <row r="540" spans="1:8" x14ac:dyDescent="0.3">
      <c r="A540" s="4" t="s">
        <v>2466</v>
      </c>
      <c r="B540" s="5">
        <v>44893</v>
      </c>
      <c r="C540" s="6" t="s">
        <v>2048</v>
      </c>
      <c r="D540" s="6" t="s">
        <v>269</v>
      </c>
      <c r="E540" s="6" t="s">
        <v>2503</v>
      </c>
      <c r="F540" s="6" t="s">
        <v>1208</v>
      </c>
      <c r="G540" s="7" t="str">
        <f>HYPERLINK("https://ovidsp.ovid.com/ovidweb.cgi?T=JS&amp;NEWS=n&amp;CSC=Y&amp;PAGE=booktext&amp;D=books&amp;SC=01518809&amp;EPUB=Y","https://ovidsp.ovid.com/ovidweb.cgi?T=JS&amp;NEWS=n&amp;CSC=Y&amp;PAGE=booktext&amp;D=books&amp;SC=01518809&amp;EPUB=Y")</f>
        <v>https://ovidsp.ovid.com/ovidweb.cgi?T=JS&amp;NEWS=n&amp;CSC=Y&amp;PAGE=booktext&amp;D=books&amp;SC=01518809&amp;EPUB=Y</v>
      </c>
      <c r="H540" s="8" t="s">
        <v>1795</v>
      </c>
    </row>
    <row r="541" spans="1:8" x14ac:dyDescent="0.3">
      <c r="A541" s="4" t="s">
        <v>2462</v>
      </c>
      <c r="B541" s="5">
        <v>44893</v>
      </c>
      <c r="C541" s="6" t="s">
        <v>2367</v>
      </c>
      <c r="D541" s="6" t="s">
        <v>1643</v>
      </c>
      <c r="E541" s="6" t="s">
        <v>2503</v>
      </c>
      <c r="F541" s="6" t="s">
        <v>241</v>
      </c>
      <c r="G541" s="7" t="str">
        <f>HYPERLINK("https://ovidsp.ovid.com/ovidweb.cgi?T=JS&amp;NEWS=n&amp;CSC=Y&amp;PAGE=booktext&amp;D=books&amp;SC=01434422&amp;EPUB=Y","https://ovidsp.ovid.com/ovidweb.cgi?T=JS&amp;NEWS=n&amp;CSC=Y&amp;PAGE=booktext&amp;D=books&amp;SC=01434422&amp;EPUB=Y")</f>
        <v>https://ovidsp.ovid.com/ovidweb.cgi?T=JS&amp;NEWS=n&amp;CSC=Y&amp;PAGE=booktext&amp;D=books&amp;SC=01434422&amp;EPUB=Y</v>
      </c>
      <c r="H541" s="8" t="s">
        <v>1795</v>
      </c>
    </row>
    <row r="542" spans="1:8" x14ac:dyDescent="0.3">
      <c r="A542" s="4" t="s">
        <v>861</v>
      </c>
      <c r="B542" s="5">
        <v>44893</v>
      </c>
      <c r="C542" s="6" t="s">
        <v>2280</v>
      </c>
      <c r="D542" s="6" t="s">
        <v>1218</v>
      </c>
      <c r="E542" s="6" t="s">
        <v>2503</v>
      </c>
      <c r="F542" s="6" t="s">
        <v>1208</v>
      </c>
      <c r="G542" s="7" t="str">
        <f>HYPERLINK("https://ovidsp.ovid.com/ovidweb.cgi?T=JS&amp;NEWS=n&amp;CSC=Y&amp;PAGE=booktext&amp;D=books&amp;SC=01434472&amp;EPUB=Y","https://ovidsp.ovid.com/ovidweb.cgi?T=JS&amp;NEWS=n&amp;CSC=Y&amp;PAGE=booktext&amp;D=books&amp;SC=01434472&amp;EPUB=Y")</f>
        <v>https://ovidsp.ovid.com/ovidweb.cgi?T=JS&amp;NEWS=n&amp;CSC=Y&amp;PAGE=booktext&amp;D=books&amp;SC=01434472&amp;EPUB=Y</v>
      </c>
      <c r="H542" s="8" t="s">
        <v>1795</v>
      </c>
    </row>
    <row r="543" spans="1:8" x14ac:dyDescent="0.3">
      <c r="A543" s="4" t="s">
        <v>2421</v>
      </c>
      <c r="B543" s="5">
        <v>44893</v>
      </c>
      <c r="C543" s="6" t="s">
        <v>1887</v>
      </c>
      <c r="D543" s="6" t="s">
        <v>2165</v>
      </c>
      <c r="E543" s="6" t="s">
        <v>2503</v>
      </c>
      <c r="F543" s="6" t="s">
        <v>1208</v>
      </c>
      <c r="G543" s="7" t="str">
        <f>HYPERLINK("https://ovidsp.ovid.com/ovidweb.cgi?T=JS&amp;NEWS=n&amp;CSC=Y&amp;PAGE=booktext&amp;D=books&amp;SC=01899942&amp;EPUB=Y","https://ovidsp.ovid.com/ovidweb.cgi?T=JS&amp;NEWS=n&amp;CSC=Y&amp;PAGE=booktext&amp;D=books&amp;SC=01899942&amp;EPUB=Y")</f>
        <v>https://ovidsp.ovid.com/ovidweb.cgi?T=JS&amp;NEWS=n&amp;CSC=Y&amp;PAGE=booktext&amp;D=books&amp;SC=01899942&amp;EPUB=Y</v>
      </c>
      <c r="H543" s="8" t="s">
        <v>1795</v>
      </c>
    </row>
    <row r="544" spans="1:8" x14ac:dyDescent="0.3">
      <c r="A544" s="4" t="s">
        <v>131</v>
      </c>
      <c r="B544" s="5">
        <v>44893</v>
      </c>
      <c r="C544" s="6" t="s">
        <v>2274</v>
      </c>
      <c r="D544" s="6" t="s">
        <v>567</v>
      </c>
      <c r="E544" s="6" t="s">
        <v>2503</v>
      </c>
      <c r="F544" s="6" t="s">
        <v>1208</v>
      </c>
      <c r="G544" s="7" t="str">
        <f>HYPERLINK("https://ovidsp.ovid.com/ovidweb.cgi?T=JS&amp;NEWS=n&amp;CSC=Y&amp;PAGE=booktext&amp;D=books&amp;SC=01979294&amp;EPUB=Y","https://ovidsp.ovid.com/ovidweb.cgi?T=JS&amp;NEWS=n&amp;CSC=Y&amp;PAGE=booktext&amp;D=books&amp;SC=01979294&amp;EPUB=Y")</f>
        <v>https://ovidsp.ovid.com/ovidweb.cgi?T=JS&amp;NEWS=n&amp;CSC=Y&amp;PAGE=booktext&amp;D=books&amp;SC=01979294&amp;EPUB=Y</v>
      </c>
      <c r="H544" s="8" t="s">
        <v>1795</v>
      </c>
    </row>
    <row r="545" spans="1:8" x14ac:dyDescent="0.3">
      <c r="A545" s="4" t="s">
        <v>2230</v>
      </c>
      <c r="B545" s="5">
        <v>44893</v>
      </c>
      <c r="C545" s="6" t="s">
        <v>703</v>
      </c>
      <c r="D545" s="6" t="s">
        <v>763</v>
      </c>
      <c r="E545" s="6" t="s">
        <v>2503</v>
      </c>
      <c r="F545" s="6" t="s">
        <v>1208</v>
      </c>
      <c r="G545" s="7" t="str">
        <f>HYPERLINK("https://ovidsp.ovid.com/ovidweb.cgi?T=JS&amp;NEWS=n&amp;CSC=Y&amp;PAGE=booktext&amp;D=books&amp;SC=01965237&amp;EPUB=Y","https://ovidsp.ovid.com/ovidweb.cgi?T=JS&amp;NEWS=n&amp;CSC=Y&amp;PAGE=booktext&amp;D=books&amp;SC=01965237&amp;EPUB=Y")</f>
        <v>https://ovidsp.ovid.com/ovidweb.cgi?T=JS&amp;NEWS=n&amp;CSC=Y&amp;PAGE=booktext&amp;D=books&amp;SC=01965237&amp;EPUB=Y</v>
      </c>
      <c r="H545" s="8" t="s">
        <v>1795</v>
      </c>
    </row>
    <row r="546" spans="1:8" x14ac:dyDescent="0.3">
      <c r="A546" s="4" t="s">
        <v>1310</v>
      </c>
      <c r="B546" s="5">
        <v>44893</v>
      </c>
      <c r="C546" s="6" t="s">
        <v>2153</v>
      </c>
      <c r="D546" s="6" t="s">
        <v>897</v>
      </c>
      <c r="E546" s="6" t="s">
        <v>2503</v>
      </c>
      <c r="F546" s="6" t="s">
        <v>1208</v>
      </c>
      <c r="G546" s="7" t="str">
        <f>HYPERLINK("https://ovidsp.ovid.com/ovidweb.cgi?T=JS&amp;NEWS=n&amp;CSC=Y&amp;PAGE=booktext&amp;D=books&amp;SC=02272606&amp;EPUB=Y","https://ovidsp.ovid.com/ovidweb.cgi?T=JS&amp;NEWS=n&amp;CSC=Y&amp;PAGE=booktext&amp;D=books&amp;SC=02272606&amp;EPUB=Y")</f>
        <v>https://ovidsp.ovid.com/ovidweb.cgi?T=JS&amp;NEWS=n&amp;CSC=Y&amp;PAGE=booktext&amp;D=books&amp;SC=02272606&amp;EPUB=Y</v>
      </c>
      <c r="H546" s="8" t="s">
        <v>1795</v>
      </c>
    </row>
    <row r="547" spans="1:8" x14ac:dyDescent="0.3">
      <c r="A547" s="4" t="s">
        <v>2210</v>
      </c>
      <c r="B547" s="5">
        <v>44893</v>
      </c>
      <c r="C547" s="6" t="s">
        <v>2367</v>
      </c>
      <c r="D547" s="6" t="s">
        <v>1643</v>
      </c>
      <c r="E547" s="6" t="s">
        <v>2503</v>
      </c>
      <c r="F547" s="6" t="s">
        <v>241</v>
      </c>
      <c r="G547" s="7" t="str">
        <f>HYPERLINK("https://ovidsp.ovid.com/ovidweb.cgi?T=JS&amp;NEWS=n&amp;CSC=Y&amp;PAGE=booktext&amp;D=books&amp;SC=01434346&amp;EPUB=Y","https://ovidsp.ovid.com/ovidweb.cgi?T=JS&amp;NEWS=n&amp;CSC=Y&amp;PAGE=booktext&amp;D=books&amp;SC=01434346&amp;EPUB=Y")</f>
        <v>https://ovidsp.ovid.com/ovidweb.cgi?T=JS&amp;NEWS=n&amp;CSC=Y&amp;PAGE=booktext&amp;D=books&amp;SC=01434346&amp;EPUB=Y</v>
      </c>
      <c r="H547" s="8" t="s">
        <v>1795</v>
      </c>
    </row>
    <row r="548" spans="1:8" x14ac:dyDescent="0.3">
      <c r="A548" s="4" t="s">
        <v>1792</v>
      </c>
      <c r="B548" s="5">
        <v>44893</v>
      </c>
      <c r="C548" s="6" t="s">
        <v>2367</v>
      </c>
      <c r="D548" s="6" t="s">
        <v>1643</v>
      </c>
      <c r="E548" s="6" t="s">
        <v>2503</v>
      </c>
      <c r="F548" s="6" t="s">
        <v>1208</v>
      </c>
      <c r="G548" s="7" t="str">
        <f>HYPERLINK("https://ovidsp.ovid.com/ovidweb.cgi?T=JS&amp;NEWS=n&amp;CSC=Y&amp;PAGE=booktext&amp;D=books&amp;SC=01434234&amp;EPUB=Y","https://ovidsp.ovid.com/ovidweb.cgi?T=JS&amp;NEWS=n&amp;CSC=Y&amp;PAGE=booktext&amp;D=books&amp;SC=01434234&amp;EPUB=Y")</f>
        <v>https://ovidsp.ovid.com/ovidweb.cgi?T=JS&amp;NEWS=n&amp;CSC=Y&amp;PAGE=booktext&amp;D=books&amp;SC=01434234&amp;EPUB=Y</v>
      </c>
      <c r="H548" s="8" t="s">
        <v>1795</v>
      </c>
    </row>
    <row r="549" spans="1:8" x14ac:dyDescent="0.3">
      <c r="A549" s="4" t="s">
        <v>2513</v>
      </c>
      <c r="B549" s="5">
        <v>44893</v>
      </c>
      <c r="C549" s="6" t="s">
        <v>2310</v>
      </c>
      <c r="D549" s="6" t="s">
        <v>1986</v>
      </c>
      <c r="E549" s="6" t="s">
        <v>2503</v>
      </c>
      <c r="F549" s="6" t="s">
        <v>241</v>
      </c>
      <c r="G549" s="7" t="str">
        <f>HYPERLINK("https://ovidsp.ovid.com/ovidweb.cgi?T=JS&amp;NEWS=n&amp;CSC=Y&amp;PAGE=booktext&amp;D=books&amp;SC=01990646&amp;EPUB=Y","https://ovidsp.ovid.com/ovidweb.cgi?T=JS&amp;NEWS=n&amp;CSC=Y&amp;PAGE=booktext&amp;D=books&amp;SC=01990646&amp;EPUB=Y")</f>
        <v>https://ovidsp.ovid.com/ovidweb.cgi?T=JS&amp;NEWS=n&amp;CSC=Y&amp;PAGE=booktext&amp;D=books&amp;SC=01990646&amp;EPUB=Y</v>
      </c>
      <c r="H549" s="8" t="s">
        <v>1795</v>
      </c>
    </row>
    <row r="550" spans="1:8" x14ac:dyDescent="0.3">
      <c r="A550" s="4" t="s">
        <v>2205</v>
      </c>
      <c r="B550" s="5">
        <v>44893</v>
      </c>
      <c r="C550" s="6" t="s">
        <v>1402</v>
      </c>
      <c r="D550" s="6" t="s">
        <v>901</v>
      </c>
      <c r="E550" s="6" t="s">
        <v>2503</v>
      </c>
      <c r="F550" s="6" t="s">
        <v>1208</v>
      </c>
      <c r="G550" s="7" t="str">
        <f>HYPERLINK("https://ovidsp.ovid.com/ovidweb.cgi?T=JS&amp;NEWS=n&amp;CSC=Y&amp;PAGE=booktext&amp;D=books&amp;SC=01434827&amp;EPUB=Y","https://ovidsp.ovid.com/ovidweb.cgi?T=JS&amp;NEWS=n&amp;CSC=Y&amp;PAGE=booktext&amp;D=books&amp;SC=01434827&amp;EPUB=Y")</f>
        <v>https://ovidsp.ovid.com/ovidweb.cgi?T=JS&amp;NEWS=n&amp;CSC=Y&amp;PAGE=booktext&amp;D=books&amp;SC=01434827&amp;EPUB=Y</v>
      </c>
      <c r="H550" s="8" t="s">
        <v>1795</v>
      </c>
    </row>
    <row r="551" spans="1:8" x14ac:dyDescent="0.3">
      <c r="A551" s="4" t="s">
        <v>1431</v>
      </c>
      <c r="B551" s="5">
        <v>44893</v>
      </c>
      <c r="C551" s="6" t="s">
        <v>2610</v>
      </c>
      <c r="D551" s="6" t="s">
        <v>2480</v>
      </c>
      <c r="E551" s="6" t="s">
        <v>2503</v>
      </c>
      <c r="F551" s="6" t="s">
        <v>1208</v>
      </c>
      <c r="G551" s="7" t="str">
        <f>HYPERLINK("https://ovidsp.ovid.com/ovidweb.cgi?T=JS&amp;NEWS=n&amp;CSC=Y&amp;PAGE=booktext&amp;D=books&amp;SC=01647955&amp;EPUB=Y","https://ovidsp.ovid.com/ovidweb.cgi?T=JS&amp;NEWS=n&amp;CSC=Y&amp;PAGE=booktext&amp;D=books&amp;SC=01647955&amp;EPUB=Y")</f>
        <v>https://ovidsp.ovid.com/ovidweb.cgi?T=JS&amp;NEWS=n&amp;CSC=Y&amp;PAGE=booktext&amp;D=books&amp;SC=01647955&amp;EPUB=Y</v>
      </c>
      <c r="H551" s="8" t="s">
        <v>1795</v>
      </c>
    </row>
    <row r="552" spans="1:8" x14ac:dyDescent="0.3">
      <c r="A552" s="4" t="s">
        <v>2078</v>
      </c>
      <c r="B552" s="5">
        <v>44893</v>
      </c>
      <c r="C552" s="6" t="s">
        <v>1863</v>
      </c>
      <c r="D552" s="6" t="s">
        <v>586</v>
      </c>
      <c r="E552" s="6" t="s">
        <v>2503</v>
      </c>
      <c r="F552" s="6" t="s">
        <v>1208</v>
      </c>
      <c r="G552" s="7" t="str">
        <f>HYPERLINK("https://ovidsp.ovid.com/ovidweb.cgi?T=JS&amp;NEWS=n&amp;CSC=Y&amp;PAGE=booktext&amp;D=books&amp;SC=02024452&amp;EPUB=Y","https://ovidsp.ovid.com/ovidweb.cgi?T=JS&amp;NEWS=n&amp;CSC=Y&amp;PAGE=booktext&amp;D=books&amp;SC=02024452&amp;EPUB=Y")</f>
        <v>https://ovidsp.ovid.com/ovidweb.cgi?T=JS&amp;NEWS=n&amp;CSC=Y&amp;PAGE=booktext&amp;D=books&amp;SC=02024452&amp;EPUB=Y</v>
      </c>
      <c r="H552" s="8" t="s">
        <v>1795</v>
      </c>
    </row>
    <row r="553" spans="1:8" x14ac:dyDescent="0.3">
      <c r="A553" s="4" t="s">
        <v>404</v>
      </c>
      <c r="B553" s="5">
        <v>44893</v>
      </c>
      <c r="C553" s="6" t="s">
        <v>383</v>
      </c>
      <c r="D553" s="6" t="s">
        <v>976</v>
      </c>
      <c r="E553" s="6" t="s">
        <v>2503</v>
      </c>
      <c r="F553" s="6" t="s">
        <v>619</v>
      </c>
      <c r="G553" s="7" t="str">
        <f>HYPERLINK("https://ovidsp.ovid.com/ovidweb.cgi?T=JS&amp;NEWS=n&amp;CSC=Y&amp;PAGE=booktext&amp;D=books&amp;SC=01906639&amp;EPUB=Y","https://ovidsp.ovid.com/ovidweb.cgi?T=JS&amp;NEWS=n&amp;CSC=Y&amp;PAGE=booktext&amp;D=books&amp;SC=01906639&amp;EPUB=Y")</f>
        <v>https://ovidsp.ovid.com/ovidweb.cgi?T=JS&amp;NEWS=n&amp;CSC=Y&amp;PAGE=booktext&amp;D=books&amp;SC=01906639&amp;EPUB=Y</v>
      </c>
      <c r="H553" s="8" t="s">
        <v>1795</v>
      </c>
    </row>
    <row r="554" spans="1:8" x14ac:dyDescent="0.3">
      <c r="A554" s="4" t="s">
        <v>404</v>
      </c>
      <c r="B554" s="5">
        <v>44893</v>
      </c>
      <c r="C554" s="6" t="s">
        <v>2367</v>
      </c>
      <c r="D554" s="6" t="s">
        <v>1643</v>
      </c>
      <c r="E554" s="6" t="s">
        <v>2503</v>
      </c>
      <c r="F554" s="6" t="s">
        <v>241</v>
      </c>
      <c r="G554" s="7" t="str">
        <f>HYPERLINK("https://ovidsp.ovid.com/ovidweb.cgi?T=JS&amp;NEWS=n&amp;CSC=Y&amp;PAGE=booktext&amp;D=books&amp;SC=01434493&amp;EPUB=Y","https://ovidsp.ovid.com/ovidweb.cgi?T=JS&amp;NEWS=n&amp;CSC=Y&amp;PAGE=booktext&amp;D=books&amp;SC=01434493&amp;EPUB=Y")</f>
        <v>https://ovidsp.ovid.com/ovidweb.cgi?T=JS&amp;NEWS=n&amp;CSC=Y&amp;PAGE=booktext&amp;D=books&amp;SC=01434493&amp;EPUB=Y</v>
      </c>
      <c r="H554" s="8" t="s">
        <v>1795</v>
      </c>
    </row>
    <row r="555" spans="1:8" x14ac:dyDescent="0.3">
      <c r="A555" s="4" t="s">
        <v>1266</v>
      </c>
      <c r="B555" s="5">
        <v>44893</v>
      </c>
      <c r="C555" s="6" t="s">
        <v>2481</v>
      </c>
      <c r="D555" s="6" t="s">
        <v>893</v>
      </c>
      <c r="E555" s="6" t="s">
        <v>2503</v>
      </c>
      <c r="F555" s="6" t="s">
        <v>1208</v>
      </c>
      <c r="G555" s="7" t="str">
        <f>HYPERLINK("https://ovidsp.ovid.com/ovidweb.cgi?T=JS&amp;NEWS=n&amp;CSC=Y&amp;PAGE=booktext&amp;D=books&amp;SC=02029595&amp;EPUB=Y","https://ovidsp.ovid.com/ovidweb.cgi?T=JS&amp;NEWS=n&amp;CSC=Y&amp;PAGE=booktext&amp;D=books&amp;SC=02029595&amp;EPUB=Y")</f>
        <v>https://ovidsp.ovid.com/ovidweb.cgi?T=JS&amp;NEWS=n&amp;CSC=Y&amp;PAGE=booktext&amp;D=books&amp;SC=02029595&amp;EPUB=Y</v>
      </c>
      <c r="H555" s="8" t="s">
        <v>1795</v>
      </c>
    </row>
    <row r="556" spans="1:8" x14ac:dyDescent="0.3">
      <c r="A556" s="4" t="s">
        <v>101</v>
      </c>
      <c r="B556" s="5">
        <v>44893</v>
      </c>
      <c r="C556" s="6" t="s">
        <v>2367</v>
      </c>
      <c r="D556" s="6" t="s">
        <v>1643</v>
      </c>
      <c r="E556" s="6" t="s">
        <v>2503</v>
      </c>
      <c r="F556" s="6" t="s">
        <v>1208</v>
      </c>
      <c r="G556" s="7" t="str">
        <f>HYPERLINK("https://ovidsp.ovid.com/ovidweb.cgi?T=JS&amp;NEWS=n&amp;CSC=Y&amp;PAGE=booktext&amp;D=books&amp;SC=01434484&amp;EPUB=Y","https://ovidsp.ovid.com/ovidweb.cgi?T=JS&amp;NEWS=n&amp;CSC=Y&amp;PAGE=booktext&amp;D=books&amp;SC=01434484&amp;EPUB=Y")</f>
        <v>https://ovidsp.ovid.com/ovidweb.cgi?T=JS&amp;NEWS=n&amp;CSC=Y&amp;PAGE=booktext&amp;D=books&amp;SC=01434484&amp;EPUB=Y</v>
      </c>
      <c r="H556" s="8" t="s">
        <v>1795</v>
      </c>
    </row>
    <row r="557" spans="1:8" x14ac:dyDescent="0.3">
      <c r="A557" s="4" t="s">
        <v>2204</v>
      </c>
      <c r="B557" s="5">
        <v>44893</v>
      </c>
      <c r="C557" s="6" t="s">
        <v>465</v>
      </c>
      <c r="D557" s="6" t="s">
        <v>92</v>
      </c>
      <c r="E557" s="6" t="s">
        <v>2503</v>
      </c>
      <c r="F557" s="6" t="s">
        <v>1208</v>
      </c>
      <c r="G557" s="7" t="str">
        <f>HYPERLINK("https://ovidsp.ovid.com/ovidweb.cgi?T=JS&amp;NEWS=n&amp;CSC=Y&amp;PAGE=booktext&amp;D=books&amp;SC=02158081&amp;EPUB=Y","https://ovidsp.ovid.com/ovidweb.cgi?T=JS&amp;NEWS=n&amp;CSC=Y&amp;PAGE=booktext&amp;D=books&amp;SC=02158081&amp;EPUB=Y")</f>
        <v>https://ovidsp.ovid.com/ovidweb.cgi?T=JS&amp;NEWS=n&amp;CSC=Y&amp;PAGE=booktext&amp;D=books&amp;SC=02158081&amp;EPUB=Y</v>
      </c>
      <c r="H557" s="8" t="s">
        <v>1795</v>
      </c>
    </row>
    <row r="558" spans="1:8" x14ac:dyDescent="0.3">
      <c r="A558" s="4" t="s">
        <v>58</v>
      </c>
      <c r="B558" s="5">
        <v>44893</v>
      </c>
      <c r="C558" s="6" t="s">
        <v>909</v>
      </c>
      <c r="D558" s="6" t="s">
        <v>1153</v>
      </c>
      <c r="E558" s="6" t="s">
        <v>2503</v>
      </c>
      <c r="F558" s="6" t="s">
        <v>619</v>
      </c>
      <c r="G558" s="7" t="str">
        <f>HYPERLINK("https://ovidsp.ovid.com/ovidweb.cgi?T=JS&amp;NEWS=n&amp;CSC=Y&amp;PAGE=booktext&amp;D=books&amp;SC=01434581&amp;EPUB=Y","https://ovidsp.ovid.com/ovidweb.cgi?T=JS&amp;NEWS=n&amp;CSC=Y&amp;PAGE=booktext&amp;D=books&amp;SC=01434581&amp;EPUB=Y")</f>
        <v>https://ovidsp.ovid.com/ovidweb.cgi?T=JS&amp;NEWS=n&amp;CSC=Y&amp;PAGE=booktext&amp;D=books&amp;SC=01434581&amp;EPUB=Y</v>
      </c>
      <c r="H558" s="8" t="s">
        <v>1795</v>
      </c>
    </row>
    <row r="559" spans="1:8" x14ac:dyDescent="0.3">
      <c r="A559" s="4" t="s">
        <v>1897</v>
      </c>
      <c r="B559" s="5">
        <v>44893</v>
      </c>
      <c r="C559" s="6" t="s">
        <v>2200</v>
      </c>
      <c r="D559" s="6" t="s">
        <v>575</v>
      </c>
      <c r="E559" s="6" t="s">
        <v>2503</v>
      </c>
      <c r="F559" s="6" t="s">
        <v>1701</v>
      </c>
      <c r="G559" s="7" t="str">
        <f>HYPERLINK("https://ovidsp.ovid.com/ovidweb.cgi?T=JS&amp;NEWS=n&amp;CSC=Y&amp;PAGE=booktext&amp;D=books&amp;SC=01833050&amp;EPUB=Y","https://ovidsp.ovid.com/ovidweb.cgi?T=JS&amp;NEWS=n&amp;CSC=Y&amp;PAGE=booktext&amp;D=books&amp;SC=01833050&amp;EPUB=Y")</f>
        <v>https://ovidsp.ovid.com/ovidweb.cgi?T=JS&amp;NEWS=n&amp;CSC=Y&amp;PAGE=booktext&amp;D=books&amp;SC=01833050&amp;EPUB=Y</v>
      </c>
      <c r="H559" s="8" t="s">
        <v>1795</v>
      </c>
    </row>
    <row r="560" spans="1:8" x14ac:dyDescent="0.3">
      <c r="A560" s="4" t="s">
        <v>1897</v>
      </c>
      <c r="B560" s="5">
        <v>44893</v>
      </c>
      <c r="C560" s="6" t="s">
        <v>1428</v>
      </c>
      <c r="D560" s="6" t="s">
        <v>455</v>
      </c>
      <c r="E560" s="6" t="s">
        <v>2503</v>
      </c>
      <c r="F560" s="6" t="s">
        <v>1596</v>
      </c>
      <c r="G560" s="7" t="str">
        <f>HYPERLINK("https://ovidsp.ovid.com/ovidweb.cgi?T=JS&amp;NEWS=n&amp;CSC=Y&amp;PAGE=booktext&amp;D=books&amp;SC=02168228&amp;EPUB=Y","https://ovidsp.ovid.com/ovidweb.cgi?T=JS&amp;NEWS=n&amp;CSC=Y&amp;PAGE=booktext&amp;D=books&amp;SC=02168228&amp;EPUB=Y")</f>
        <v>https://ovidsp.ovid.com/ovidweb.cgi?T=JS&amp;NEWS=n&amp;CSC=Y&amp;PAGE=booktext&amp;D=books&amp;SC=02168228&amp;EPUB=Y</v>
      </c>
      <c r="H560" s="8" t="s">
        <v>1795</v>
      </c>
    </row>
    <row r="561" spans="1:8" x14ac:dyDescent="0.3">
      <c r="A561" s="4" t="s">
        <v>1897</v>
      </c>
      <c r="B561" s="5">
        <v>44893</v>
      </c>
      <c r="C561" s="6" t="s">
        <v>2367</v>
      </c>
      <c r="D561" s="6" t="s">
        <v>1643</v>
      </c>
      <c r="E561" s="6" t="s">
        <v>2503</v>
      </c>
      <c r="F561" s="6" t="s">
        <v>241</v>
      </c>
      <c r="G561" s="7" t="str">
        <f>HYPERLINK("https://ovidsp.ovid.com/ovidweb.cgi?T=JS&amp;NEWS=n&amp;CSC=Y&amp;PAGE=booktext&amp;D=books&amp;SC=01434248&amp;EPUB=Y","https://ovidsp.ovid.com/ovidweb.cgi?T=JS&amp;NEWS=n&amp;CSC=Y&amp;PAGE=booktext&amp;D=books&amp;SC=01434248&amp;EPUB=Y")</f>
        <v>https://ovidsp.ovid.com/ovidweb.cgi?T=JS&amp;NEWS=n&amp;CSC=Y&amp;PAGE=booktext&amp;D=books&amp;SC=01434248&amp;EPUB=Y</v>
      </c>
      <c r="H561" s="8" t="s">
        <v>1795</v>
      </c>
    </row>
    <row r="562" spans="1:8" x14ac:dyDescent="0.3">
      <c r="A562" s="4" t="s">
        <v>2566</v>
      </c>
      <c r="B562" s="5">
        <v>44893</v>
      </c>
      <c r="C562" s="6" t="s">
        <v>2464</v>
      </c>
      <c r="D562" s="6" t="s">
        <v>1515</v>
      </c>
      <c r="E562" s="6" t="s">
        <v>2503</v>
      </c>
      <c r="F562" s="6" t="s">
        <v>1208</v>
      </c>
      <c r="G562" s="7" t="str">
        <f>HYPERLINK("https://ovidsp.ovid.com/ovidweb.cgi?T=JS&amp;NEWS=n&amp;CSC=Y&amp;PAGE=booktext&amp;D=books&amp;SC=01867007&amp;EPUB=Y","https://ovidsp.ovid.com/ovidweb.cgi?T=JS&amp;NEWS=n&amp;CSC=Y&amp;PAGE=booktext&amp;D=books&amp;SC=01867007&amp;EPUB=Y")</f>
        <v>https://ovidsp.ovid.com/ovidweb.cgi?T=JS&amp;NEWS=n&amp;CSC=Y&amp;PAGE=booktext&amp;D=books&amp;SC=01867007&amp;EPUB=Y</v>
      </c>
      <c r="H562" s="8" t="s">
        <v>1795</v>
      </c>
    </row>
    <row r="563" spans="1:8" x14ac:dyDescent="0.3">
      <c r="A563" s="4" t="s">
        <v>225</v>
      </c>
      <c r="B563" s="5">
        <v>44893</v>
      </c>
      <c r="C563" s="6" t="s">
        <v>1373</v>
      </c>
      <c r="D563" s="6" t="s">
        <v>831</v>
      </c>
      <c r="E563" s="6" t="s">
        <v>2503</v>
      </c>
      <c r="F563" s="6" t="s">
        <v>1208</v>
      </c>
      <c r="G563" s="7" t="str">
        <f>HYPERLINK("https://ovidsp.ovid.com/ovidweb.cgi?T=JS&amp;NEWS=n&amp;CSC=Y&amp;PAGE=booktext&amp;D=books&amp;SC=01838250&amp;EPUB=Y","https://ovidsp.ovid.com/ovidweb.cgi?T=JS&amp;NEWS=n&amp;CSC=Y&amp;PAGE=booktext&amp;D=books&amp;SC=01838250&amp;EPUB=Y")</f>
        <v>https://ovidsp.ovid.com/ovidweb.cgi?T=JS&amp;NEWS=n&amp;CSC=Y&amp;PAGE=booktext&amp;D=books&amp;SC=01838250&amp;EPUB=Y</v>
      </c>
      <c r="H563" s="8" t="s">
        <v>1795</v>
      </c>
    </row>
    <row r="564" spans="1:8" x14ac:dyDescent="0.3">
      <c r="A564" s="4" t="s">
        <v>1908</v>
      </c>
      <c r="B564" s="5">
        <v>44893</v>
      </c>
      <c r="C564" s="6" t="s">
        <v>149</v>
      </c>
      <c r="D564" s="6" t="s">
        <v>1194</v>
      </c>
      <c r="E564" s="6" t="s">
        <v>2503</v>
      </c>
      <c r="F564" s="6" t="s">
        <v>1208</v>
      </c>
      <c r="G564" s="7" t="str">
        <f>HYPERLINK("https://ovidsp.ovid.com/ovidweb.cgi?T=JS&amp;NEWS=n&amp;CSC=Y&amp;PAGE=booktext&amp;D=books&amp;SC=02087405&amp;EPUB=Y","https://ovidsp.ovid.com/ovidweb.cgi?T=JS&amp;NEWS=n&amp;CSC=Y&amp;PAGE=booktext&amp;D=books&amp;SC=02087405&amp;EPUB=Y")</f>
        <v>https://ovidsp.ovid.com/ovidweb.cgi?T=JS&amp;NEWS=n&amp;CSC=Y&amp;PAGE=booktext&amp;D=books&amp;SC=02087405&amp;EPUB=Y</v>
      </c>
      <c r="H564" s="8" t="s">
        <v>1795</v>
      </c>
    </row>
    <row r="565" spans="1:8" x14ac:dyDescent="0.3">
      <c r="A565" s="4" t="s">
        <v>409</v>
      </c>
      <c r="B565" s="5">
        <v>44893</v>
      </c>
      <c r="C565" s="6" t="s">
        <v>2311</v>
      </c>
      <c r="D565" s="6" t="s">
        <v>605</v>
      </c>
      <c r="E565" s="6" t="s">
        <v>2503</v>
      </c>
      <c r="F565" s="6" t="s">
        <v>1208</v>
      </c>
      <c r="G565" s="7" t="str">
        <f>HYPERLINK("https://ovidsp.ovid.com/ovidweb.cgi?T=JS&amp;NEWS=n&amp;CSC=Y&amp;PAGE=booktext&amp;D=books&amp;SC=01434614&amp;EPUB=Y","https://ovidsp.ovid.com/ovidweb.cgi?T=JS&amp;NEWS=n&amp;CSC=Y&amp;PAGE=booktext&amp;D=books&amp;SC=01434614&amp;EPUB=Y")</f>
        <v>https://ovidsp.ovid.com/ovidweb.cgi?T=JS&amp;NEWS=n&amp;CSC=Y&amp;PAGE=booktext&amp;D=books&amp;SC=01434614&amp;EPUB=Y</v>
      </c>
      <c r="H565" s="8" t="s">
        <v>1795</v>
      </c>
    </row>
    <row r="566" spans="1:8" x14ac:dyDescent="0.3">
      <c r="A566" s="4" t="s">
        <v>1416</v>
      </c>
      <c r="B566" s="5">
        <v>44893</v>
      </c>
      <c r="C566" s="6" t="s">
        <v>503</v>
      </c>
      <c r="D566" s="6" t="s">
        <v>1609</v>
      </c>
      <c r="E566" s="6" t="s">
        <v>2503</v>
      </c>
      <c r="F566" s="6" t="s">
        <v>1208</v>
      </c>
      <c r="G566" s="7" t="str">
        <f>HYPERLINK("https://ovidsp.ovid.com/ovidweb.cgi?T=JS&amp;NEWS=n&amp;CSC=Y&amp;PAGE=booktext&amp;D=books&amp;SC=02273864&amp;EPUB=Y","https://ovidsp.ovid.com/ovidweb.cgi?T=JS&amp;NEWS=n&amp;CSC=Y&amp;PAGE=booktext&amp;D=books&amp;SC=02273864&amp;EPUB=Y")</f>
        <v>https://ovidsp.ovid.com/ovidweb.cgi?T=JS&amp;NEWS=n&amp;CSC=Y&amp;PAGE=booktext&amp;D=books&amp;SC=02273864&amp;EPUB=Y</v>
      </c>
      <c r="H566" s="8" t="s">
        <v>1795</v>
      </c>
    </row>
    <row r="567" spans="1:8" x14ac:dyDescent="0.3">
      <c r="A567" s="4" t="s">
        <v>866</v>
      </c>
      <c r="B567" s="5">
        <v>44893</v>
      </c>
      <c r="C567" s="6" t="s">
        <v>2367</v>
      </c>
      <c r="D567" s="6" t="s">
        <v>1643</v>
      </c>
      <c r="E567" s="6" t="s">
        <v>2503</v>
      </c>
      <c r="F567" s="6" t="s">
        <v>1208</v>
      </c>
      <c r="G567" s="7" t="str">
        <f>HYPERLINK("https://ovidsp.ovid.com/ovidweb.cgi?T=JS&amp;NEWS=n&amp;CSC=Y&amp;PAGE=booktext&amp;D=books&amp;SC=01434368&amp;EPUB=Y","https://ovidsp.ovid.com/ovidweb.cgi?T=JS&amp;NEWS=n&amp;CSC=Y&amp;PAGE=booktext&amp;D=books&amp;SC=01434368&amp;EPUB=Y")</f>
        <v>https://ovidsp.ovid.com/ovidweb.cgi?T=JS&amp;NEWS=n&amp;CSC=Y&amp;PAGE=booktext&amp;D=books&amp;SC=01434368&amp;EPUB=Y</v>
      </c>
      <c r="H567" s="8" t="s">
        <v>1795</v>
      </c>
    </row>
    <row r="568" spans="1:8" x14ac:dyDescent="0.3">
      <c r="A568" s="4" t="s">
        <v>97</v>
      </c>
      <c r="B568" s="5">
        <v>44893</v>
      </c>
      <c r="C568" s="6" t="s">
        <v>2144</v>
      </c>
      <c r="D568" s="6" t="s">
        <v>160</v>
      </c>
      <c r="E568" s="6" t="s">
        <v>2503</v>
      </c>
      <c r="F568" s="6" t="s">
        <v>241</v>
      </c>
      <c r="G568" s="7" t="str">
        <f>HYPERLINK("https://ovidsp.ovid.com/ovidweb.cgi?T=JS&amp;NEWS=n&amp;CSC=Y&amp;PAGE=booktext&amp;D=books&amp;SC=02092013&amp;EPUB=Y","https://ovidsp.ovid.com/ovidweb.cgi?T=JS&amp;NEWS=n&amp;CSC=Y&amp;PAGE=booktext&amp;D=books&amp;SC=02092013&amp;EPUB=Y")</f>
        <v>https://ovidsp.ovid.com/ovidweb.cgi?T=JS&amp;NEWS=n&amp;CSC=Y&amp;PAGE=booktext&amp;D=books&amp;SC=02092013&amp;EPUB=Y</v>
      </c>
      <c r="H568" s="8" t="s">
        <v>1795</v>
      </c>
    </row>
    <row r="569" spans="1:8" x14ac:dyDescent="0.3">
      <c r="A569" s="4" t="s">
        <v>97</v>
      </c>
      <c r="B569" s="5">
        <v>44893</v>
      </c>
      <c r="C569" s="6" t="s">
        <v>1115</v>
      </c>
      <c r="D569" s="6" t="s">
        <v>1839</v>
      </c>
      <c r="E569" s="6" t="s">
        <v>2503</v>
      </c>
      <c r="F569" s="6" t="s">
        <v>1208</v>
      </c>
      <c r="G569" s="7" t="str">
        <f>HYPERLINK("https://ovidsp.ovid.com/ovidweb.cgi?T=JS&amp;NEWS=n&amp;CSC=Y&amp;PAGE=booktext&amp;D=books&amp;SC=01607900&amp;EPUB=Y","https://ovidsp.ovid.com/ovidweb.cgi?T=JS&amp;NEWS=n&amp;CSC=Y&amp;PAGE=booktext&amp;D=books&amp;SC=01607900&amp;EPUB=Y")</f>
        <v>https://ovidsp.ovid.com/ovidweb.cgi?T=JS&amp;NEWS=n&amp;CSC=Y&amp;PAGE=booktext&amp;D=books&amp;SC=01607900&amp;EPUB=Y</v>
      </c>
      <c r="H569" s="8" t="s">
        <v>1795</v>
      </c>
    </row>
    <row r="570" spans="1:8" x14ac:dyDescent="0.3">
      <c r="A570" s="4" t="s">
        <v>164</v>
      </c>
      <c r="B570" s="5">
        <v>44893</v>
      </c>
      <c r="C570" s="6" t="s">
        <v>2367</v>
      </c>
      <c r="D570" s="6" t="s">
        <v>1643</v>
      </c>
      <c r="E570" s="6" t="s">
        <v>2503</v>
      </c>
      <c r="F570" s="6" t="s">
        <v>1208</v>
      </c>
      <c r="G570" s="7" t="str">
        <f>HYPERLINK("https://ovidsp.ovid.com/ovidweb.cgi?T=JS&amp;NEWS=n&amp;CSC=Y&amp;PAGE=booktext&amp;D=books&amp;SC=01434373&amp;EPUB=Y","https://ovidsp.ovid.com/ovidweb.cgi?T=JS&amp;NEWS=n&amp;CSC=Y&amp;PAGE=booktext&amp;D=books&amp;SC=01434373&amp;EPUB=Y")</f>
        <v>https://ovidsp.ovid.com/ovidweb.cgi?T=JS&amp;NEWS=n&amp;CSC=Y&amp;PAGE=booktext&amp;D=books&amp;SC=01434373&amp;EPUB=Y</v>
      </c>
      <c r="H570" s="8" t="s">
        <v>1795</v>
      </c>
    </row>
    <row r="571" spans="1:8" x14ac:dyDescent="0.3">
      <c r="A571" s="4" t="s">
        <v>1129</v>
      </c>
      <c r="B571" s="5">
        <v>44893</v>
      </c>
      <c r="C571" s="6" t="s">
        <v>980</v>
      </c>
      <c r="D571" s="6" t="s">
        <v>2445</v>
      </c>
      <c r="E571" s="6" t="s">
        <v>2503</v>
      </c>
      <c r="F571" s="6" t="s">
        <v>1208</v>
      </c>
      <c r="G571" s="7" t="str">
        <f>HYPERLINK("https://ovidsp.ovid.com/ovidweb.cgi?T=JS&amp;NEWS=n&amp;CSC=Y&amp;PAGE=booktext&amp;D=books&amp;SC=02050053&amp;EPUB=Y","https://ovidsp.ovid.com/ovidweb.cgi?T=JS&amp;NEWS=n&amp;CSC=Y&amp;PAGE=booktext&amp;D=books&amp;SC=02050053&amp;EPUB=Y")</f>
        <v>https://ovidsp.ovid.com/ovidweb.cgi?T=JS&amp;NEWS=n&amp;CSC=Y&amp;PAGE=booktext&amp;D=books&amp;SC=02050053&amp;EPUB=Y</v>
      </c>
      <c r="H571" s="8" t="s">
        <v>1795</v>
      </c>
    </row>
    <row r="572" spans="1:8" x14ac:dyDescent="0.3">
      <c r="A572" s="4" t="s">
        <v>1434</v>
      </c>
      <c r="B572" s="5">
        <v>44893</v>
      </c>
      <c r="C572" s="6" t="s">
        <v>2367</v>
      </c>
      <c r="D572" s="6" t="s">
        <v>1643</v>
      </c>
      <c r="E572" s="6" t="s">
        <v>2503</v>
      </c>
      <c r="F572" s="6" t="s">
        <v>1208</v>
      </c>
      <c r="G572" s="7" t="str">
        <f>HYPERLINK("https://ovidsp.ovid.com/ovidweb.cgi?T=JS&amp;NEWS=n&amp;CSC=Y&amp;PAGE=booktext&amp;D=books&amp;SC=01437831&amp;EPUB=Y","https://ovidsp.ovid.com/ovidweb.cgi?T=JS&amp;NEWS=n&amp;CSC=Y&amp;PAGE=booktext&amp;D=books&amp;SC=01437831&amp;EPUB=Y")</f>
        <v>https://ovidsp.ovid.com/ovidweb.cgi?T=JS&amp;NEWS=n&amp;CSC=Y&amp;PAGE=booktext&amp;D=books&amp;SC=01437831&amp;EPUB=Y</v>
      </c>
      <c r="H572" s="8" t="s">
        <v>1795</v>
      </c>
    </row>
    <row r="573" spans="1:8" x14ac:dyDescent="0.3">
      <c r="A573" s="4" t="s">
        <v>378</v>
      </c>
      <c r="B573" s="5">
        <v>44893</v>
      </c>
      <c r="C573" s="6" t="s">
        <v>2231</v>
      </c>
      <c r="D573" s="6" t="s">
        <v>1836</v>
      </c>
      <c r="E573" s="6" t="s">
        <v>2503</v>
      </c>
      <c r="F573" s="6" t="s">
        <v>1208</v>
      </c>
      <c r="G573" s="7" t="str">
        <f>HYPERLINK("https://ovidsp.ovid.com/ovidweb.cgi?T=JS&amp;NEWS=n&amp;CSC=Y&amp;PAGE=booktext&amp;D=books&amp;SC=01436840&amp;EPUB=Y","https://ovidsp.ovid.com/ovidweb.cgi?T=JS&amp;NEWS=n&amp;CSC=Y&amp;PAGE=booktext&amp;D=books&amp;SC=01436840&amp;EPUB=Y")</f>
        <v>https://ovidsp.ovid.com/ovidweb.cgi?T=JS&amp;NEWS=n&amp;CSC=Y&amp;PAGE=booktext&amp;D=books&amp;SC=01436840&amp;EPUB=Y</v>
      </c>
      <c r="H573" s="8" t="s">
        <v>1795</v>
      </c>
    </row>
    <row r="574" spans="1:8" x14ac:dyDescent="0.3">
      <c r="A574" s="4" t="s">
        <v>2420</v>
      </c>
      <c r="B574" s="5">
        <v>44893</v>
      </c>
      <c r="C574" s="6" t="s">
        <v>1102</v>
      </c>
      <c r="D574" s="6" t="s">
        <v>1099</v>
      </c>
      <c r="E574" s="6" t="s">
        <v>2503</v>
      </c>
      <c r="F574" s="6" t="s">
        <v>1208</v>
      </c>
      <c r="G574" s="7" t="str">
        <f>HYPERLINK("https://ovidsp.ovid.com/ovidweb.cgi?T=JS&amp;NEWS=n&amp;CSC=Y&amp;PAGE=booktext&amp;D=books&amp;SC=01703959&amp;EPUB=Y","https://ovidsp.ovid.com/ovidweb.cgi?T=JS&amp;NEWS=n&amp;CSC=Y&amp;PAGE=booktext&amp;D=books&amp;SC=01703959&amp;EPUB=Y")</f>
        <v>https://ovidsp.ovid.com/ovidweb.cgi?T=JS&amp;NEWS=n&amp;CSC=Y&amp;PAGE=booktext&amp;D=books&amp;SC=01703959&amp;EPUB=Y</v>
      </c>
      <c r="H574" s="8" t="s">
        <v>1795</v>
      </c>
    </row>
    <row r="575" spans="1:8" x14ac:dyDescent="0.3">
      <c r="A575" s="4" t="s">
        <v>1791</v>
      </c>
      <c r="B575" s="5">
        <v>44893</v>
      </c>
      <c r="C575" s="6" t="s">
        <v>2367</v>
      </c>
      <c r="D575" s="6" t="s">
        <v>1643</v>
      </c>
      <c r="E575" s="6" t="s">
        <v>2503</v>
      </c>
      <c r="F575" s="6" t="s">
        <v>1208</v>
      </c>
      <c r="G575" s="7" t="str">
        <f>HYPERLINK("https://ovidsp.ovid.com/ovidweb.cgi?T=JS&amp;NEWS=n&amp;CSC=Y&amp;PAGE=booktext&amp;D=books&amp;SC=01434303&amp;EPUB=Y","https://ovidsp.ovid.com/ovidweb.cgi?T=JS&amp;NEWS=n&amp;CSC=Y&amp;PAGE=booktext&amp;D=books&amp;SC=01434303&amp;EPUB=Y")</f>
        <v>https://ovidsp.ovid.com/ovidweb.cgi?T=JS&amp;NEWS=n&amp;CSC=Y&amp;PAGE=booktext&amp;D=books&amp;SC=01434303&amp;EPUB=Y</v>
      </c>
      <c r="H575" s="8" t="s">
        <v>1795</v>
      </c>
    </row>
    <row r="576" spans="1:8" x14ac:dyDescent="0.3">
      <c r="A576" s="4" t="s">
        <v>532</v>
      </c>
      <c r="B576" s="5">
        <v>44893</v>
      </c>
      <c r="C576" s="6" t="s">
        <v>1273</v>
      </c>
      <c r="D576" s="6" t="s">
        <v>1035</v>
      </c>
      <c r="E576" s="6" t="s">
        <v>2503</v>
      </c>
      <c r="F576" s="6" t="s">
        <v>1208</v>
      </c>
      <c r="G576" s="7" t="str">
        <f>HYPERLINK("https://ovidsp.ovid.com/ovidweb.cgi?T=JS&amp;NEWS=n&amp;CSC=Y&amp;PAGE=booktext&amp;D=books&amp;SC=02118288&amp;EPUB=Y","https://ovidsp.ovid.com/ovidweb.cgi?T=JS&amp;NEWS=n&amp;CSC=Y&amp;PAGE=booktext&amp;D=books&amp;SC=02118288&amp;EPUB=Y")</f>
        <v>https://ovidsp.ovid.com/ovidweb.cgi?T=JS&amp;NEWS=n&amp;CSC=Y&amp;PAGE=booktext&amp;D=books&amp;SC=02118288&amp;EPUB=Y</v>
      </c>
      <c r="H576" s="8" t="s">
        <v>1795</v>
      </c>
    </row>
    <row r="577" spans="1:8" x14ac:dyDescent="0.3">
      <c r="A577" s="4" t="s">
        <v>2553</v>
      </c>
      <c r="B577" s="5">
        <v>44893</v>
      </c>
      <c r="C577" s="6" t="s">
        <v>940</v>
      </c>
      <c r="D577" s="6" t="s">
        <v>1264</v>
      </c>
      <c r="E577" s="6" t="s">
        <v>2503</v>
      </c>
      <c r="F577" s="6" t="s">
        <v>1208</v>
      </c>
      <c r="G577" s="7" t="str">
        <f>HYPERLINK("https://ovidsp.ovid.com/ovidweb.cgi?T=JS&amp;NEWS=n&amp;CSC=Y&amp;PAGE=booktext&amp;D=books&amp;SC=02134349&amp;EPUB=Y","https://ovidsp.ovid.com/ovidweb.cgi?T=JS&amp;NEWS=n&amp;CSC=Y&amp;PAGE=booktext&amp;D=books&amp;SC=02134349&amp;EPUB=Y")</f>
        <v>https://ovidsp.ovid.com/ovidweb.cgi?T=JS&amp;NEWS=n&amp;CSC=Y&amp;PAGE=booktext&amp;D=books&amp;SC=02134349&amp;EPUB=Y</v>
      </c>
      <c r="H577" s="8" t="s">
        <v>1795</v>
      </c>
    </row>
    <row r="578" spans="1:8" x14ac:dyDescent="0.3">
      <c r="A578" s="4" t="s">
        <v>1421</v>
      </c>
      <c r="B578" s="5">
        <v>44893</v>
      </c>
      <c r="C578" s="6" t="s">
        <v>2367</v>
      </c>
      <c r="D578" s="6" t="s">
        <v>1643</v>
      </c>
      <c r="E578" s="6" t="s">
        <v>2503</v>
      </c>
      <c r="F578" s="6" t="s">
        <v>1208</v>
      </c>
      <c r="G578" s="7" t="str">
        <f>HYPERLINK("https://ovidsp.ovid.com/ovidweb.cgi?T=JS&amp;NEWS=n&amp;CSC=Y&amp;PAGE=booktext&amp;D=books&amp;SC=01434449&amp;EPUB=Y","https://ovidsp.ovid.com/ovidweb.cgi?T=JS&amp;NEWS=n&amp;CSC=Y&amp;PAGE=booktext&amp;D=books&amp;SC=01434449&amp;EPUB=Y")</f>
        <v>https://ovidsp.ovid.com/ovidweb.cgi?T=JS&amp;NEWS=n&amp;CSC=Y&amp;PAGE=booktext&amp;D=books&amp;SC=01434449&amp;EPUB=Y</v>
      </c>
      <c r="H578" s="8" t="s">
        <v>1795</v>
      </c>
    </row>
    <row r="579" spans="1:8" x14ac:dyDescent="0.3">
      <c r="A579" s="4" t="s">
        <v>2488</v>
      </c>
      <c r="B579" s="5">
        <v>44893</v>
      </c>
      <c r="C579" s="6" t="s">
        <v>597</v>
      </c>
      <c r="D579" s="6" t="s">
        <v>2119</v>
      </c>
      <c r="E579" s="6" t="s">
        <v>2503</v>
      </c>
      <c r="F579" s="6" t="s">
        <v>1208</v>
      </c>
      <c r="G579" s="7" t="str">
        <f>HYPERLINK("https://ovidsp.ovid.com/ovidweb.cgi?T=JS&amp;NEWS=n&amp;CSC=Y&amp;PAGE=booktext&amp;D=books&amp;SC=01434518&amp;EPUB=Y","https://ovidsp.ovid.com/ovidweb.cgi?T=JS&amp;NEWS=n&amp;CSC=Y&amp;PAGE=booktext&amp;D=books&amp;SC=01434518&amp;EPUB=Y")</f>
        <v>https://ovidsp.ovid.com/ovidweb.cgi?T=JS&amp;NEWS=n&amp;CSC=Y&amp;PAGE=booktext&amp;D=books&amp;SC=01434518&amp;EPUB=Y</v>
      </c>
      <c r="H579" s="8" t="s">
        <v>1795</v>
      </c>
    </row>
    <row r="580" spans="1:8" x14ac:dyDescent="0.3">
      <c r="A580" s="4" t="s">
        <v>1864</v>
      </c>
      <c r="B580" s="5">
        <v>44893</v>
      </c>
      <c r="C580" s="6" t="s">
        <v>1423</v>
      </c>
      <c r="D580" s="6" t="s">
        <v>777</v>
      </c>
      <c r="E580" s="6" t="s">
        <v>2503</v>
      </c>
      <c r="F580" s="6" t="s">
        <v>1208</v>
      </c>
      <c r="G580" s="7" t="str">
        <f>HYPERLINK("https://ovidsp.ovid.com/ovidweb.cgi?T=JS&amp;NEWS=n&amp;CSC=Y&amp;PAGE=booktext&amp;D=books&amp;SC=02249954&amp;EPUB=Y","https://ovidsp.ovid.com/ovidweb.cgi?T=JS&amp;NEWS=n&amp;CSC=Y&amp;PAGE=booktext&amp;D=books&amp;SC=02249954&amp;EPUB=Y")</f>
        <v>https://ovidsp.ovid.com/ovidweb.cgi?T=JS&amp;NEWS=n&amp;CSC=Y&amp;PAGE=booktext&amp;D=books&amp;SC=02249954&amp;EPUB=Y</v>
      </c>
      <c r="H580" s="8" t="s">
        <v>1795</v>
      </c>
    </row>
    <row r="581" spans="1:8" x14ac:dyDescent="0.3">
      <c r="A581" s="4" t="s">
        <v>1046</v>
      </c>
      <c r="B581" s="5">
        <v>44893</v>
      </c>
      <c r="C581" s="6" t="s">
        <v>1075</v>
      </c>
      <c r="D581" s="6" t="s">
        <v>645</v>
      </c>
      <c r="E581" s="6" t="s">
        <v>2503</v>
      </c>
      <c r="F581" s="6" t="s">
        <v>1208</v>
      </c>
      <c r="G581" s="7" t="str">
        <f>HYPERLINK("https://ovidsp.ovid.com/ovidweb.cgi?T=JS&amp;NEWS=n&amp;CSC=Y&amp;PAGE=booktext&amp;D=books&amp;SC=01768408&amp;EPUB=Y","https://ovidsp.ovid.com/ovidweb.cgi?T=JS&amp;NEWS=n&amp;CSC=Y&amp;PAGE=booktext&amp;D=books&amp;SC=01768408&amp;EPUB=Y")</f>
        <v>https://ovidsp.ovid.com/ovidweb.cgi?T=JS&amp;NEWS=n&amp;CSC=Y&amp;PAGE=booktext&amp;D=books&amp;SC=01768408&amp;EPUB=Y</v>
      </c>
      <c r="H581" s="8" t="s">
        <v>1795</v>
      </c>
    </row>
    <row r="582" spans="1:8" x14ac:dyDescent="0.3">
      <c r="A582" s="4" t="s">
        <v>590</v>
      </c>
      <c r="B582" s="5">
        <v>44893</v>
      </c>
      <c r="C582" s="6" t="s">
        <v>1834</v>
      </c>
      <c r="D582" s="6" t="s">
        <v>2090</v>
      </c>
      <c r="E582" s="6" t="s">
        <v>2503</v>
      </c>
      <c r="F582" s="6" t="s">
        <v>241</v>
      </c>
      <c r="G582" s="7" t="str">
        <f>HYPERLINK("https://ovidsp.ovid.com/ovidweb.cgi?T=JS&amp;NEWS=n&amp;CSC=Y&amp;PAGE=booktext&amp;D=books&amp;SC=01434659&amp;EPUB=Y","https://ovidsp.ovid.com/ovidweb.cgi?T=JS&amp;NEWS=n&amp;CSC=Y&amp;PAGE=booktext&amp;D=books&amp;SC=01434659&amp;EPUB=Y")</f>
        <v>https://ovidsp.ovid.com/ovidweb.cgi?T=JS&amp;NEWS=n&amp;CSC=Y&amp;PAGE=booktext&amp;D=books&amp;SC=01434659&amp;EPUB=Y</v>
      </c>
      <c r="H582" s="8" t="s">
        <v>1795</v>
      </c>
    </row>
    <row r="583" spans="1:8" x14ac:dyDescent="0.3">
      <c r="A583" s="4" t="s">
        <v>852</v>
      </c>
      <c r="B583" s="5">
        <v>44893</v>
      </c>
      <c r="C583" s="6" t="s">
        <v>111</v>
      </c>
      <c r="D583" s="6" t="s">
        <v>2143</v>
      </c>
      <c r="E583" s="6" t="s">
        <v>2503</v>
      </c>
      <c r="F583" s="6" t="s">
        <v>1208</v>
      </c>
      <c r="G583" s="7" t="str">
        <f>HYPERLINK("https://ovidsp.ovid.com/ovidweb.cgi?T=JS&amp;NEWS=n&amp;CSC=Y&amp;PAGE=booktext&amp;D=books&amp;SC=01833047&amp;EPUB=Y","https://ovidsp.ovid.com/ovidweb.cgi?T=JS&amp;NEWS=n&amp;CSC=Y&amp;PAGE=booktext&amp;D=books&amp;SC=01833047&amp;EPUB=Y")</f>
        <v>https://ovidsp.ovid.com/ovidweb.cgi?T=JS&amp;NEWS=n&amp;CSC=Y&amp;PAGE=booktext&amp;D=books&amp;SC=01833047&amp;EPUB=Y</v>
      </c>
      <c r="H583" s="8" t="s">
        <v>1795</v>
      </c>
    </row>
    <row r="584" spans="1:8" x14ac:dyDescent="0.3">
      <c r="A584" s="4" t="s">
        <v>2523</v>
      </c>
      <c r="B584" s="5">
        <v>44893</v>
      </c>
      <c r="C584" s="6" t="s">
        <v>560</v>
      </c>
      <c r="D584" s="6" t="s">
        <v>1800</v>
      </c>
      <c r="E584" s="6" t="s">
        <v>2503</v>
      </c>
      <c r="F584" s="6" t="s">
        <v>1208</v>
      </c>
      <c r="G584" s="7" t="str">
        <f>HYPERLINK("https://ovidsp.ovid.com/ovidweb.cgi?T=JS&amp;NEWS=n&amp;CSC=Y&amp;PAGE=booktext&amp;D=books&amp;SC=02272814&amp;EPUB=Y","https://ovidsp.ovid.com/ovidweb.cgi?T=JS&amp;NEWS=n&amp;CSC=Y&amp;PAGE=booktext&amp;D=books&amp;SC=02272814&amp;EPUB=Y")</f>
        <v>https://ovidsp.ovid.com/ovidweb.cgi?T=JS&amp;NEWS=n&amp;CSC=Y&amp;PAGE=booktext&amp;D=books&amp;SC=02272814&amp;EPUB=Y</v>
      </c>
      <c r="H584" s="8" t="s">
        <v>1795</v>
      </c>
    </row>
    <row r="585" spans="1:8" x14ac:dyDescent="0.3">
      <c r="A585" s="4" t="s">
        <v>2255</v>
      </c>
      <c r="B585" s="5">
        <v>44893</v>
      </c>
      <c r="C585" s="6" t="s">
        <v>239</v>
      </c>
      <c r="D585" s="6" t="s">
        <v>20</v>
      </c>
      <c r="E585" s="6" t="s">
        <v>2503</v>
      </c>
      <c r="F585" s="6" t="s">
        <v>1208</v>
      </c>
      <c r="G585" s="7" t="str">
        <f>HYPERLINK("https://ovidsp.ovid.com/ovidweb.cgi?T=JS&amp;NEWS=n&amp;CSC=Y&amp;PAGE=booktext&amp;D=books&amp;SC=02158082&amp;EPUB=Y","https://ovidsp.ovid.com/ovidweb.cgi?T=JS&amp;NEWS=n&amp;CSC=Y&amp;PAGE=booktext&amp;D=books&amp;SC=02158082&amp;EPUB=Y")</f>
        <v>https://ovidsp.ovid.com/ovidweb.cgi?T=JS&amp;NEWS=n&amp;CSC=Y&amp;PAGE=booktext&amp;D=books&amp;SC=02158082&amp;EPUB=Y</v>
      </c>
      <c r="H585" s="8" t="s">
        <v>1795</v>
      </c>
    </row>
    <row r="586" spans="1:8" x14ac:dyDescent="0.3">
      <c r="A586" s="4" t="s">
        <v>1198</v>
      </c>
      <c r="B586" s="5">
        <v>44893</v>
      </c>
      <c r="C586" s="6" t="s">
        <v>2569</v>
      </c>
      <c r="D586" s="6" t="s">
        <v>1644</v>
      </c>
      <c r="E586" s="6" t="s">
        <v>2503</v>
      </c>
      <c r="F586" s="6" t="s">
        <v>1208</v>
      </c>
      <c r="G586" s="7" t="str">
        <f>HYPERLINK("https://ovidsp.ovid.com/ovidweb.cgi?T=JS&amp;NEWS=n&amp;CSC=Y&amp;PAGE=booktext&amp;D=books&amp;SC=02050055&amp;EPUB=Y","https://ovidsp.ovid.com/ovidweb.cgi?T=JS&amp;NEWS=n&amp;CSC=Y&amp;PAGE=booktext&amp;D=books&amp;SC=02050055&amp;EPUB=Y")</f>
        <v>https://ovidsp.ovid.com/ovidweb.cgi?T=JS&amp;NEWS=n&amp;CSC=Y&amp;PAGE=booktext&amp;D=books&amp;SC=02050055&amp;EPUB=Y</v>
      </c>
      <c r="H586" s="8" t="s">
        <v>1795</v>
      </c>
    </row>
    <row r="587" spans="1:8" x14ac:dyDescent="0.3">
      <c r="A587" s="4" t="s">
        <v>481</v>
      </c>
      <c r="B587" s="5">
        <v>44893</v>
      </c>
      <c r="C587" s="6" t="s">
        <v>233</v>
      </c>
      <c r="D587" s="6" t="s">
        <v>55</v>
      </c>
      <c r="E587" s="6" t="s">
        <v>2503</v>
      </c>
      <c r="F587" s="6" t="s">
        <v>1208</v>
      </c>
      <c r="G587" s="7" t="str">
        <f>HYPERLINK("https://ovidsp.ovid.com/ovidweb.cgi?T=JS&amp;NEWS=n&amp;CSC=Y&amp;PAGE=booktext&amp;D=books&amp;SC=01434579&amp;EPUB=Y","https://ovidsp.ovid.com/ovidweb.cgi?T=JS&amp;NEWS=n&amp;CSC=Y&amp;PAGE=booktext&amp;D=books&amp;SC=01434579&amp;EPUB=Y")</f>
        <v>https://ovidsp.ovid.com/ovidweb.cgi?T=JS&amp;NEWS=n&amp;CSC=Y&amp;PAGE=booktext&amp;D=books&amp;SC=01434579&amp;EPUB=Y</v>
      </c>
      <c r="H587" s="8" t="s">
        <v>1795</v>
      </c>
    </row>
    <row r="588" spans="1:8" x14ac:dyDescent="0.3">
      <c r="A588" s="4" t="s">
        <v>2567</v>
      </c>
      <c r="B588" s="5">
        <v>44893</v>
      </c>
      <c r="C588" s="6" t="s">
        <v>426</v>
      </c>
      <c r="D588" s="6" t="s">
        <v>1920</v>
      </c>
      <c r="E588" s="6" t="s">
        <v>2503</v>
      </c>
      <c r="F588" s="6" t="s">
        <v>1208</v>
      </c>
      <c r="G588" s="7" t="str">
        <f>HYPERLINK("https://ovidsp.ovid.com/ovidweb.cgi?T=JS&amp;NEWS=n&amp;CSC=Y&amp;PAGE=booktext&amp;D=books&amp;SC=01434610&amp;EPUB=Y","https://ovidsp.ovid.com/ovidweb.cgi?T=JS&amp;NEWS=n&amp;CSC=Y&amp;PAGE=booktext&amp;D=books&amp;SC=01434610&amp;EPUB=Y")</f>
        <v>https://ovidsp.ovid.com/ovidweb.cgi?T=JS&amp;NEWS=n&amp;CSC=Y&amp;PAGE=booktext&amp;D=books&amp;SC=01434610&amp;EPUB=Y</v>
      </c>
      <c r="H588" s="8" t="s">
        <v>1795</v>
      </c>
    </row>
    <row r="589" spans="1:8" x14ac:dyDescent="0.3">
      <c r="A589" s="4" t="s">
        <v>1703</v>
      </c>
      <c r="B589" s="5">
        <v>44893</v>
      </c>
      <c r="C589" s="6" t="s">
        <v>2367</v>
      </c>
      <c r="D589" s="6" t="s">
        <v>1643</v>
      </c>
      <c r="E589" s="6" t="s">
        <v>2503</v>
      </c>
      <c r="F589" s="6" t="s">
        <v>1208</v>
      </c>
      <c r="G589" s="7" t="str">
        <f>HYPERLINK("https://ovidsp.ovid.com/ovidweb.cgi?T=JS&amp;NEWS=n&amp;CSC=Y&amp;PAGE=booktext&amp;D=books&amp;SC=01434291&amp;EPUB=Y","https://ovidsp.ovid.com/ovidweb.cgi?T=JS&amp;NEWS=n&amp;CSC=Y&amp;PAGE=booktext&amp;D=books&amp;SC=01434291&amp;EPUB=Y")</f>
        <v>https://ovidsp.ovid.com/ovidweb.cgi?T=JS&amp;NEWS=n&amp;CSC=Y&amp;PAGE=booktext&amp;D=books&amp;SC=01434291&amp;EPUB=Y</v>
      </c>
      <c r="H589" s="8" t="s">
        <v>1795</v>
      </c>
    </row>
    <row r="590" spans="1:8" x14ac:dyDescent="0.3">
      <c r="A590" s="4" t="s">
        <v>2074</v>
      </c>
      <c r="B590" s="5">
        <v>44893</v>
      </c>
      <c r="C590" s="6" t="s">
        <v>135</v>
      </c>
      <c r="D590" s="6" t="s">
        <v>2052</v>
      </c>
      <c r="E590" s="6" t="s">
        <v>2503</v>
      </c>
      <c r="F590" s="6" t="s">
        <v>1208</v>
      </c>
      <c r="G590" s="7" t="str">
        <f>HYPERLINK("https://ovidsp.ovid.com/ovidweb.cgi?T=JS&amp;NEWS=n&amp;CSC=Y&amp;PAGE=booktext&amp;D=books&amp;SC=02024434&amp;EPUB=Y","https://ovidsp.ovid.com/ovidweb.cgi?T=JS&amp;NEWS=n&amp;CSC=Y&amp;PAGE=booktext&amp;D=books&amp;SC=02024434&amp;EPUB=Y")</f>
        <v>https://ovidsp.ovid.com/ovidweb.cgi?T=JS&amp;NEWS=n&amp;CSC=Y&amp;PAGE=booktext&amp;D=books&amp;SC=02024434&amp;EPUB=Y</v>
      </c>
      <c r="H590" s="8" t="s">
        <v>1795</v>
      </c>
    </row>
    <row r="591" spans="1:8" x14ac:dyDescent="0.3">
      <c r="A591" s="4" t="s">
        <v>1537</v>
      </c>
      <c r="B591" s="5">
        <v>44893</v>
      </c>
      <c r="C591" s="6" t="s">
        <v>207</v>
      </c>
      <c r="D591" s="6" t="s">
        <v>1415</v>
      </c>
      <c r="E591" s="6" t="s">
        <v>2503</v>
      </c>
      <c r="F591" s="6" t="s">
        <v>241</v>
      </c>
      <c r="G591" s="7" t="str">
        <f>HYPERLINK("https://ovidsp.ovid.com/ovidweb.cgi?T=JS&amp;NEWS=n&amp;CSC=Y&amp;PAGE=booktext&amp;D=books&amp;SC=01436998&amp;EPUB=Y","https://ovidsp.ovid.com/ovidweb.cgi?T=JS&amp;NEWS=n&amp;CSC=Y&amp;PAGE=booktext&amp;D=books&amp;SC=01436998&amp;EPUB=Y")</f>
        <v>https://ovidsp.ovid.com/ovidweb.cgi?T=JS&amp;NEWS=n&amp;CSC=Y&amp;PAGE=booktext&amp;D=books&amp;SC=01436998&amp;EPUB=Y</v>
      </c>
      <c r="H591" s="8" t="s">
        <v>1795</v>
      </c>
    </row>
    <row r="592" spans="1:8" x14ac:dyDescent="0.3">
      <c r="A592" s="4" t="s">
        <v>1248</v>
      </c>
      <c r="B592" s="5">
        <v>44893</v>
      </c>
      <c r="C592" s="6" t="s">
        <v>702</v>
      </c>
      <c r="D592" s="6" t="s">
        <v>114</v>
      </c>
      <c r="E592" s="6" t="s">
        <v>2503</v>
      </c>
      <c r="F592" s="6" t="s">
        <v>1208</v>
      </c>
      <c r="G592" s="7" t="str">
        <f>HYPERLINK("https://ovidsp.ovid.com/ovidweb.cgi?T=JS&amp;NEWS=n&amp;CSC=Y&amp;PAGE=booktext&amp;D=books&amp;SC=01647995&amp;EPUB=Y","https://ovidsp.ovid.com/ovidweb.cgi?T=JS&amp;NEWS=n&amp;CSC=Y&amp;PAGE=booktext&amp;D=books&amp;SC=01647995&amp;EPUB=Y")</f>
        <v>https://ovidsp.ovid.com/ovidweb.cgi?T=JS&amp;NEWS=n&amp;CSC=Y&amp;PAGE=booktext&amp;D=books&amp;SC=01647995&amp;EPUB=Y</v>
      </c>
      <c r="H592" s="8" t="s">
        <v>1795</v>
      </c>
    </row>
    <row r="593" spans="1:8" x14ac:dyDescent="0.3">
      <c r="A593" s="4" t="s">
        <v>1869</v>
      </c>
      <c r="B593" s="5">
        <v>44893</v>
      </c>
      <c r="C593" s="6" t="s">
        <v>451</v>
      </c>
      <c r="D593" s="6" t="s">
        <v>794</v>
      </c>
      <c r="E593" s="6" t="s">
        <v>2503</v>
      </c>
      <c r="F593" s="6" t="s">
        <v>1208</v>
      </c>
      <c r="G593" s="7" t="str">
        <f>HYPERLINK("https://ovidsp.ovid.com/ovidweb.cgi?T=JS&amp;NEWS=n&amp;CSC=Y&amp;PAGE=booktext&amp;D=books&amp;SC=01434621&amp;EPUB=Y","https://ovidsp.ovid.com/ovidweb.cgi?T=JS&amp;NEWS=n&amp;CSC=Y&amp;PAGE=booktext&amp;D=books&amp;SC=01434621&amp;EPUB=Y")</f>
        <v>https://ovidsp.ovid.com/ovidweb.cgi?T=JS&amp;NEWS=n&amp;CSC=Y&amp;PAGE=booktext&amp;D=books&amp;SC=01434621&amp;EPUB=Y</v>
      </c>
      <c r="H593" s="8" t="s">
        <v>1795</v>
      </c>
    </row>
    <row r="594" spans="1:8" x14ac:dyDescent="0.3">
      <c r="A594" s="4" t="s">
        <v>263</v>
      </c>
      <c r="B594" s="5">
        <v>44893</v>
      </c>
      <c r="C594" s="6" t="s">
        <v>1244</v>
      </c>
      <c r="D594" s="6" t="s">
        <v>45</v>
      </c>
      <c r="E594" s="6" t="s">
        <v>2503</v>
      </c>
      <c r="F594" s="6" t="s">
        <v>1208</v>
      </c>
      <c r="G594" s="7" t="str">
        <f>HYPERLINK("https://ovidsp.ovid.com/ovidweb.cgi?T=JS&amp;NEWS=n&amp;CSC=Y&amp;PAGE=booktext&amp;D=books&amp;SC=01434496&amp;EPUB=Y","https://ovidsp.ovid.com/ovidweb.cgi?T=JS&amp;NEWS=n&amp;CSC=Y&amp;PAGE=booktext&amp;D=books&amp;SC=01434496&amp;EPUB=Y")</f>
        <v>https://ovidsp.ovid.com/ovidweb.cgi?T=JS&amp;NEWS=n&amp;CSC=Y&amp;PAGE=booktext&amp;D=books&amp;SC=01434496&amp;EPUB=Y</v>
      </c>
      <c r="H594" s="8" t="s">
        <v>1795</v>
      </c>
    </row>
    <row r="595" spans="1:8" x14ac:dyDescent="0.3">
      <c r="A595" s="4" t="s">
        <v>1167</v>
      </c>
      <c r="B595" s="5">
        <v>44893</v>
      </c>
      <c r="C595" s="6" t="s">
        <v>2367</v>
      </c>
      <c r="D595" s="6" t="s">
        <v>1643</v>
      </c>
      <c r="E595" s="6" t="s">
        <v>2503</v>
      </c>
      <c r="F595" s="6" t="s">
        <v>1208</v>
      </c>
      <c r="G595" s="7" t="str">
        <f>HYPERLINK("https://ovidsp.ovid.com/ovidweb.cgi?T=JS&amp;NEWS=n&amp;CSC=Y&amp;PAGE=booktext&amp;D=books&amp;SC=01434431&amp;EPUB=Y","https://ovidsp.ovid.com/ovidweb.cgi?T=JS&amp;NEWS=n&amp;CSC=Y&amp;PAGE=booktext&amp;D=books&amp;SC=01434431&amp;EPUB=Y")</f>
        <v>https://ovidsp.ovid.com/ovidweb.cgi?T=JS&amp;NEWS=n&amp;CSC=Y&amp;PAGE=booktext&amp;D=books&amp;SC=01434431&amp;EPUB=Y</v>
      </c>
      <c r="H595" s="8" t="s">
        <v>1795</v>
      </c>
    </row>
    <row r="596" spans="1:8" x14ac:dyDescent="0.3">
      <c r="A596" s="4" t="s">
        <v>1459</v>
      </c>
      <c r="B596" s="5">
        <v>44893</v>
      </c>
      <c r="C596" s="6" t="s">
        <v>2367</v>
      </c>
      <c r="D596" s="6" t="s">
        <v>1643</v>
      </c>
      <c r="E596" s="6" t="s">
        <v>2503</v>
      </c>
      <c r="F596" s="6" t="s">
        <v>1208</v>
      </c>
      <c r="G596" s="7" t="str">
        <f>HYPERLINK("https://ovidsp.ovid.com/ovidweb.cgi?T=JS&amp;NEWS=n&amp;CSC=Y&amp;PAGE=booktext&amp;D=books&amp;SC=01434227&amp;EPUB=Y","https://ovidsp.ovid.com/ovidweb.cgi?T=JS&amp;NEWS=n&amp;CSC=Y&amp;PAGE=booktext&amp;D=books&amp;SC=01434227&amp;EPUB=Y")</f>
        <v>https://ovidsp.ovid.com/ovidweb.cgi?T=JS&amp;NEWS=n&amp;CSC=Y&amp;PAGE=booktext&amp;D=books&amp;SC=01434227&amp;EPUB=Y</v>
      </c>
      <c r="H596" s="8" t="s">
        <v>1795</v>
      </c>
    </row>
    <row r="597" spans="1:8" x14ac:dyDescent="0.3">
      <c r="A597" s="4" t="s">
        <v>1651</v>
      </c>
      <c r="B597" s="5">
        <v>44893</v>
      </c>
      <c r="C597" s="6" t="s">
        <v>2446</v>
      </c>
      <c r="D597" s="6" t="s">
        <v>1812</v>
      </c>
      <c r="E597" s="6" t="s">
        <v>2503</v>
      </c>
      <c r="F597" s="6" t="s">
        <v>1208</v>
      </c>
      <c r="G597" s="7" t="str">
        <f>HYPERLINK("https://ovidsp.ovid.com/ovidweb.cgi?T=JS&amp;NEWS=n&amp;CSC=Y&amp;PAGE=booktext&amp;D=books&amp;SC=01434536&amp;EPUB=Y","https://ovidsp.ovid.com/ovidweb.cgi?T=JS&amp;NEWS=n&amp;CSC=Y&amp;PAGE=booktext&amp;D=books&amp;SC=01434536&amp;EPUB=Y")</f>
        <v>https://ovidsp.ovid.com/ovidweb.cgi?T=JS&amp;NEWS=n&amp;CSC=Y&amp;PAGE=booktext&amp;D=books&amp;SC=01434536&amp;EPUB=Y</v>
      </c>
      <c r="H597" s="8" t="s">
        <v>1795</v>
      </c>
    </row>
    <row r="598" spans="1:8" x14ac:dyDescent="0.3">
      <c r="A598" s="4" t="s">
        <v>442</v>
      </c>
      <c r="B598" s="5">
        <v>44893</v>
      </c>
      <c r="C598" s="6" t="s">
        <v>2025</v>
      </c>
      <c r="D598" s="6" t="s">
        <v>1829</v>
      </c>
      <c r="E598" s="6" t="s">
        <v>2503</v>
      </c>
      <c r="F598" s="6" t="s">
        <v>1208</v>
      </c>
      <c r="G598" s="7" t="str">
        <f>HYPERLINK("https://ovidsp.ovid.com/ovidweb.cgi?T=JS&amp;NEWS=n&amp;CSC=Y&amp;PAGE=booktext&amp;D=books&amp;SC=01515472&amp;EPUB=Y","https://ovidsp.ovid.com/ovidweb.cgi?T=JS&amp;NEWS=n&amp;CSC=Y&amp;PAGE=booktext&amp;D=books&amp;SC=01515472&amp;EPUB=Y")</f>
        <v>https://ovidsp.ovid.com/ovidweb.cgi?T=JS&amp;NEWS=n&amp;CSC=Y&amp;PAGE=booktext&amp;D=books&amp;SC=01515472&amp;EPUB=Y</v>
      </c>
      <c r="H598" s="8" t="s">
        <v>1795</v>
      </c>
    </row>
    <row r="599" spans="1:8" x14ac:dyDescent="0.3">
      <c r="A599" s="4" t="s">
        <v>2528</v>
      </c>
      <c r="B599" s="5">
        <v>44893</v>
      </c>
      <c r="C599" s="6" t="s">
        <v>2397</v>
      </c>
      <c r="D599" s="6" t="s">
        <v>1816</v>
      </c>
      <c r="E599" s="6" t="s">
        <v>2503</v>
      </c>
      <c r="F599" s="6" t="s">
        <v>1208</v>
      </c>
      <c r="G599" s="7" t="str">
        <f>HYPERLINK("https://ovidsp.ovid.com/ovidweb.cgi?T=JS&amp;NEWS=n&amp;CSC=Y&amp;PAGE=booktext&amp;D=books&amp;SC=01438236&amp;EPUB=Y","https://ovidsp.ovid.com/ovidweb.cgi?T=JS&amp;NEWS=n&amp;CSC=Y&amp;PAGE=booktext&amp;D=books&amp;SC=01438236&amp;EPUB=Y")</f>
        <v>https://ovidsp.ovid.com/ovidweb.cgi?T=JS&amp;NEWS=n&amp;CSC=Y&amp;PAGE=booktext&amp;D=books&amp;SC=01438236&amp;EPUB=Y</v>
      </c>
      <c r="H599" s="8" t="s">
        <v>1795</v>
      </c>
    </row>
    <row r="600" spans="1:8" x14ac:dyDescent="0.3">
      <c r="A600" s="4" t="s">
        <v>2163</v>
      </c>
      <c r="B600" s="5">
        <v>44893</v>
      </c>
      <c r="C600" s="6" t="s">
        <v>1985</v>
      </c>
      <c r="D600" s="6" t="s">
        <v>328</v>
      </c>
      <c r="E600" s="6" t="s">
        <v>2503</v>
      </c>
      <c r="F600" s="6" t="s">
        <v>1208</v>
      </c>
      <c r="G600" s="7" t="str">
        <f>HYPERLINK("https://ovidsp.ovid.com/ovidweb.cgi?T=JS&amp;NEWS=n&amp;CSC=Y&amp;PAGE=booktext&amp;D=books&amp;SC=02158087&amp;EPUB=Y","https://ovidsp.ovid.com/ovidweb.cgi?T=JS&amp;NEWS=n&amp;CSC=Y&amp;PAGE=booktext&amp;D=books&amp;SC=02158087&amp;EPUB=Y")</f>
        <v>https://ovidsp.ovid.com/ovidweb.cgi?T=JS&amp;NEWS=n&amp;CSC=Y&amp;PAGE=booktext&amp;D=books&amp;SC=02158087&amp;EPUB=Y</v>
      </c>
      <c r="H600" s="8" t="s">
        <v>1795</v>
      </c>
    </row>
    <row r="601" spans="1:8" x14ac:dyDescent="0.3">
      <c r="A601" s="4" t="s">
        <v>2454</v>
      </c>
      <c r="B601" s="5">
        <v>44893</v>
      </c>
      <c r="C601" s="6" t="s">
        <v>182</v>
      </c>
      <c r="D601" s="6" t="s">
        <v>1543</v>
      </c>
      <c r="E601" s="6" t="s">
        <v>2503</v>
      </c>
      <c r="F601" s="6" t="s">
        <v>1208</v>
      </c>
      <c r="G601" s="7" t="str">
        <f>HYPERLINK("https://ovidsp.ovid.com/ovidweb.cgi?T=JS&amp;NEWS=n&amp;CSC=Y&amp;PAGE=booktext&amp;D=books&amp;SC=01768409&amp;EPUB=Y","https://ovidsp.ovid.com/ovidweb.cgi?T=JS&amp;NEWS=n&amp;CSC=Y&amp;PAGE=booktext&amp;D=books&amp;SC=01768409&amp;EPUB=Y")</f>
        <v>https://ovidsp.ovid.com/ovidweb.cgi?T=JS&amp;NEWS=n&amp;CSC=Y&amp;PAGE=booktext&amp;D=books&amp;SC=01768409&amp;EPUB=Y</v>
      </c>
      <c r="H601" s="8" t="s">
        <v>1795</v>
      </c>
    </row>
    <row r="602" spans="1:8" x14ac:dyDescent="0.3">
      <c r="A602" s="4" t="s">
        <v>1002</v>
      </c>
      <c r="B602" s="5">
        <v>44893</v>
      </c>
      <c r="C602" s="6" t="s">
        <v>886</v>
      </c>
      <c r="D602" s="6" t="s">
        <v>1381</v>
      </c>
      <c r="E602" s="6" t="s">
        <v>2503</v>
      </c>
      <c r="F602" s="6" t="s">
        <v>241</v>
      </c>
      <c r="G602" s="7" t="str">
        <f>HYPERLINK("https://ovidsp.ovid.com/ovidweb.cgi?T=JS&amp;NEWS=n&amp;CSC=Y&amp;PAGE=booktext&amp;D=books&amp;SC=02168229&amp;EPUB=Y","https://ovidsp.ovid.com/ovidweb.cgi?T=JS&amp;NEWS=n&amp;CSC=Y&amp;PAGE=booktext&amp;D=books&amp;SC=02168229&amp;EPUB=Y")</f>
        <v>https://ovidsp.ovid.com/ovidweb.cgi?T=JS&amp;NEWS=n&amp;CSC=Y&amp;PAGE=booktext&amp;D=books&amp;SC=02168229&amp;EPUB=Y</v>
      </c>
      <c r="H602" s="8" t="s">
        <v>1795</v>
      </c>
    </row>
    <row r="603" spans="1:8" x14ac:dyDescent="0.3">
      <c r="A603" s="4" t="s">
        <v>1038</v>
      </c>
      <c r="B603" s="5">
        <v>44893</v>
      </c>
      <c r="C603" s="6" t="s">
        <v>342</v>
      </c>
      <c r="D603" s="6" t="s">
        <v>2164</v>
      </c>
      <c r="E603" s="6" t="s">
        <v>2503</v>
      </c>
      <c r="F603" s="6" t="s">
        <v>1208</v>
      </c>
      <c r="G603" s="7" t="str">
        <f>HYPERLINK("https://ovidsp.ovid.com/ovidweb.cgi?T=JS&amp;NEWS=n&amp;CSC=Y&amp;PAGE=booktext&amp;D=books&amp;SC=01845208&amp;EPUB=Y","https://ovidsp.ovid.com/ovidweb.cgi?T=JS&amp;NEWS=n&amp;CSC=Y&amp;PAGE=booktext&amp;D=books&amp;SC=01845208&amp;EPUB=Y")</f>
        <v>https://ovidsp.ovid.com/ovidweb.cgi?T=JS&amp;NEWS=n&amp;CSC=Y&amp;PAGE=booktext&amp;D=books&amp;SC=01845208&amp;EPUB=Y</v>
      </c>
      <c r="H603" s="8" t="s">
        <v>1795</v>
      </c>
    </row>
    <row r="604" spans="1:8" x14ac:dyDescent="0.3">
      <c r="A604" s="4" t="s">
        <v>191</v>
      </c>
      <c r="B604" s="5">
        <v>44893</v>
      </c>
      <c r="C604" s="6" t="s">
        <v>2367</v>
      </c>
      <c r="D604" s="6" t="s">
        <v>1643</v>
      </c>
      <c r="E604" s="6" t="s">
        <v>2503</v>
      </c>
      <c r="F604" s="6" t="s">
        <v>1208</v>
      </c>
      <c r="G604" s="7" t="str">
        <f>HYPERLINK("https://ovidsp.ovid.com/ovidweb.cgi?T=JS&amp;NEWS=n&amp;CSC=Y&amp;PAGE=booktext&amp;D=books&amp;SC=01434242&amp;EPUB=Y","https://ovidsp.ovid.com/ovidweb.cgi?T=JS&amp;NEWS=n&amp;CSC=Y&amp;PAGE=booktext&amp;D=books&amp;SC=01434242&amp;EPUB=Y")</f>
        <v>https://ovidsp.ovid.com/ovidweb.cgi?T=JS&amp;NEWS=n&amp;CSC=Y&amp;PAGE=booktext&amp;D=books&amp;SC=01434242&amp;EPUB=Y</v>
      </c>
      <c r="H604" s="8" t="s">
        <v>1795</v>
      </c>
    </row>
    <row r="605" spans="1:8" x14ac:dyDescent="0.3">
      <c r="A605" s="4" t="s">
        <v>2336</v>
      </c>
      <c r="B605" s="5">
        <v>44893</v>
      </c>
      <c r="C605" s="6" t="s">
        <v>2367</v>
      </c>
      <c r="D605" s="6" t="s">
        <v>1643</v>
      </c>
      <c r="E605" s="6" t="s">
        <v>2503</v>
      </c>
      <c r="F605" s="6" t="s">
        <v>1208</v>
      </c>
      <c r="G605" s="7" t="str">
        <f>HYPERLINK("https://ovidsp.ovid.com/ovidweb.cgi?T=JS&amp;NEWS=n&amp;CSC=Y&amp;PAGE=booktext&amp;D=books&amp;SC=01434360&amp;EPUB=Y","https://ovidsp.ovid.com/ovidweb.cgi?T=JS&amp;NEWS=n&amp;CSC=Y&amp;PAGE=booktext&amp;D=books&amp;SC=01434360&amp;EPUB=Y")</f>
        <v>https://ovidsp.ovid.com/ovidweb.cgi?T=JS&amp;NEWS=n&amp;CSC=Y&amp;PAGE=booktext&amp;D=books&amp;SC=01434360&amp;EPUB=Y</v>
      </c>
      <c r="H605" s="8" t="s">
        <v>1795</v>
      </c>
    </row>
    <row r="606" spans="1:8" x14ac:dyDescent="0.3">
      <c r="A606" s="4" t="s">
        <v>1185</v>
      </c>
      <c r="B606" s="5">
        <v>44893</v>
      </c>
      <c r="C606" s="6" t="s">
        <v>1119</v>
      </c>
      <c r="D606" s="6" t="s">
        <v>510</v>
      </c>
      <c r="E606" s="6" t="s">
        <v>2503</v>
      </c>
      <c r="F606" s="6" t="s">
        <v>1208</v>
      </c>
      <c r="G606" s="7" t="str">
        <f>HYPERLINK("https://ovidsp.ovid.com/ovidweb.cgi?T=JS&amp;NEWS=n&amp;CSC=Y&amp;PAGE=booktext&amp;D=books&amp;SC=01714660&amp;EPUB=Y","https://ovidsp.ovid.com/ovidweb.cgi?T=JS&amp;NEWS=n&amp;CSC=Y&amp;PAGE=booktext&amp;D=books&amp;SC=01714660&amp;EPUB=Y")</f>
        <v>https://ovidsp.ovid.com/ovidweb.cgi?T=JS&amp;NEWS=n&amp;CSC=Y&amp;PAGE=booktext&amp;D=books&amp;SC=01714660&amp;EPUB=Y</v>
      </c>
      <c r="H606" s="8" t="s">
        <v>1795</v>
      </c>
    </row>
    <row r="607" spans="1:8" x14ac:dyDescent="0.3">
      <c r="A607" s="4" t="s">
        <v>334</v>
      </c>
      <c r="B607" s="5">
        <v>44893</v>
      </c>
      <c r="C607" s="6" t="s">
        <v>2367</v>
      </c>
      <c r="D607" s="6" t="s">
        <v>1643</v>
      </c>
      <c r="E607" s="6" t="s">
        <v>2503</v>
      </c>
      <c r="F607" s="6" t="s">
        <v>1208</v>
      </c>
      <c r="G607" s="7" t="str">
        <f>HYPERLINK("https://ovidsp.ovid.com/ovidweb.cgi?T=JS&amp;NEWS=n&amp;CSC=Y&amp;PAGE=booktext&amp;D=books&amp;SC=01434547&amp;EPUB=Y","https://ovidsp.ovid.com/ovidweb.cgi?T=JS&amp;NEWS=n&amp;CSC=Y&amp;PAGE=booktext&amp;D=books&amp;SC=01434547&amp;EPUB=Y")</f>
        <v>https://ovidsp.ovid.com/ovidweb.cgi?T=JS&amp;NEWS=n&amp;CSC=Y&amp;PAGE=booktext&amp;D=books&amp;SC=01434547&amp;EPUB=Y</v>
      </c>
      <c r="H607" s="8" t="s">
        <v>1795</v>
      </c>
    </row>
    <row r="608" spans="1:8" x14ac:dyDescent="0.3">
      <c r="A608" s="4" t="s">
        <v>2607</v>
      </c>
      <c r="B608" s="5">
        <v>44893</v>
      </c>
      <c r="C608" s="6" t="s">
        <v>2367</v>
      </c>
      <c r="D608" s="6" t="s">
        <v>1643</v>
      </c>
      <c r="E608" s="6" t="s">
        <v>2503</v>
      </c>
      <c r="F608" s="6" t="s">
        <v>1208</v>
      </c>
      <c r="G608" s="7" t="str">
        <f>HYPERLINK("https://ovidsp.ovid.com/ovidweb.cgi?T=JS&amp;NEWS=n&amp;CSC=Y&amp;PAGE=booktext&amp;D=books&amp;SC=01434479&amp;EPUB=Y","https://ovidsp.ovid.com/ovidweb.cgi?T=JS&amp;NEWS=n&amp;CSC=Y&amp;PAGE=booktext&amp;D=books&amp;SC=01434479&amp;EPUB=Y")</f>
        <v>https://ovidsp.ovid.com/ovidweb.cgi?T=JS&amp;NEWS=n&amp;CSC=Y&amp;PAGE=booktext&amp;D=books&amp;SC=01434479&amp;EPUB=Y</v>
      </c>
      <c r="H608" s="8" t="s">
        <v>1795</v>
      </c>
    </row>
    <row r="609" spans="1:8" x14ac:dyDescent="0.3">
      <c r="A609" s="4" t="s">
        <v>458</v>
      </c>
      <c r="B609" s="5">
        <v>44893</v>
      </c>
      <c r="C609" s="6" t="s">
        <v>904</v>
      </c>
      <c r="D609" s="6" t="s">
        <v>414</v>
      </c>
      <c r="E609" s="6" t="s">
        <v>2503</v>
      </c>
      <c r="F609" s="6" t="s">
        <v>1208</v>
      </c>
      <c r="G609" s="7" t="str">
        <f>HYPERLINK("https://ovidsp.ovid.com/ovidweb.cgi?T=JS&amp;NEWS=n&amp;CSC=Y&amp;PAGE=booktext&amp;D=books&amp;SC=01974527&amp;EPUB=Y","https://ovidsp.ovid.com/ovidweb.cgi?T=JS&amp;NEWS=n&amp;CSC=Y&amp;PAGE=booktext&amp;D=books&amp;SC=01974527&amp;EPUB=Y")</f>
        <v>https://ovidsp.ovid.com/ovidweb.cgi?T=JS&amp;NEWS=n&amp;CSC=Y&amp;PAGE=booktext&amp;D=books&amp;SC=01974527&amp;EPUB=Y</v>
      </c>
      <c r="H609" s="8" t="s">
        <v>1795</v>
      </c>
    </row>
    <row r="610" spans="1:8" x14ac:dyDescent="0.3">
      <c r="A610" s="4" t="s">
        <v>478</v>
      </c>
      <c r="B610" s="5">
        <v>44893</v>
      </c>
      <c r="C610" s="6" t="s">
        <v>2504</v>
      </c>
      <c r="D610" s="6" t="s">
        <v>1966</v>
      </c>
      <c r="E610" s="6" t="s">
        <v>2503</v>
      </c>
      <c r="F610" s="6" t="s">
        <v>1596</v>
      </c>
      <c r="G610" s="7" t="str">
        <f>HYPERLINK("https://ovidsp.ovid.com/ovidweb.cgi?T=JS&amp;NEWS=n&amp;CSC=Y&amp;PAGE=booktext&amp;D=books&amp;SC=02273507&amp;EPUB=Y","https://ovidsp.ovid.com/ovidweb.cgi?T=JS&amp;NEWS=n&amp;CSC=Y&amp;PAGE=booktext&amp;D=books&amp;SC=02273507&amp;EPUB=Y")</f>
        <v>https://ovidsp.ovid.com/ovidweb.cgi?T=JS&amp;NEWS=n&amp;CSC=Y&amp;PAGE=booktext&amp;D=books&amp;SC=02273507&amp;EPUB=Y</v>
      </c>
      <c r="H610" s="8" t="s">
        <v>1795</v>
      </c>
    </row>
    <row r="611" spans="1:8" x14ac:dyDescent="0.3">
      <c r="A611" s="4" t="s">
        <v>478</v>
      </c>
      <c r="B611" s="5">
        <v>44893</v>
      </c>
      <c r="C611" s="6" t="s">
        <v>249</v>
      </c>
      <c r="D611" s="6" t="s">
        <v>966</v>
      </c>
      <c r="E611" s="6" t="s">
        <v>2503</v>
      </c>
      <c r="F611" s="6" t="s">
        <v>1701</v>
      </c>
      <c r="G611" s="7" t="str">
        <f>HYPERLINK("https://ovidsp.ovid.com/ovidweb.cgi?T=JS&amp;NEWS=n&amp;CSC=Y&amp;PAGE=booktext&amp;D=books&amp;SC=01437812&amp;EPUB=Y","https://ovidsp.ovid.com/ovidweb.cgi?T=JS&amp;NEWS=n&amp;CSC=Y&amp;PAGE=booktext&amp;D=books&amp;SC=01437812&amp;EPUB=Y")</f>
        <v>https://ovidsp.ovid.com/ovidweb.cgi?T=JS&amp;NEWS=n&amp;CSC=Y&amp;PAGE=booktext&amp;D=books&amp;SC=01437812&amp;EPUB=Y</v>
      </c>
      <c r="H611" s="8" t="s">
        <v>1795</v>
      </c>
    </row>
    <row r="612" spans="1:8" x14ac:dyDescent="0.3">
      <c r="A612" s="4" t="s">
        <v>1169</v>
      </c>
      <c r="B612" s="5">
        <v>44893</v>
      </c>
      <c r="C612" s="6" t="s">
        <v>1195</v>
      </c>
      <c r="D612" s="6" t="s">
        <v>603</v>
      </c>
      <c r="E612" s="6" t="s">
        <v>2503</v>
      </c>
      <c r="F612" s="6" t="s">
        <v>619</v>
      </c>
      <c r="G612" s="7" t="str">
        <f>HYPERLINK("https://ovidsp.ovid.com/ovidweb.cgi?T=JS&amp;NEWS=n&amp;CSC=Y&amp;PAGE=booktext&amp;D=books&amp;SC=01434322&amp;EPUB=Y","https://ovidsp.ovid.com/ovidweb.cgi?T=JS&amp;NEWS=n&amp;CSC=Y&amp;PAGE=booktext&amp;D=books&amp;SC=01434322&amp;EPUB=Y")</f>
        <v>https://ovidsp.ovid.com/ovidweb.cgi?T=JS&amp;NEWS=n&amp;CSC=Y&amp;PAGE=booktext&amp;D=books&amp;SC=01434322&amp;EPUB=Y</v>
      </c>
      <c r="H612" s="8" t="s">
        <v>1795</v>
      </c>
    </row>
    <row r="613" spans="1:8" x14ac:dyDescent="0.3">
      <c r="A613" s="4" t="s">
        <v>1798</v>
      </c>
      <c r="B613" s="5">
        <v>44893</v>
      </c>
      <c r="C613" s="6" t="s">
        <v>2367</v>
      </c>
      <c r="D613" s="6" t="s">
        <v>1643</v>
      </c>
      <c r="E613" s="6" t="s">
        <v>2503</v>
      </c>
      <c r="F613" s="6" t="s">
        <v>1208</v>
      </c>
      <c r="G613" s="7" t="str">
        <f>HYPERLINK("https://ovidsp.ovid.com/ovidweb.cgi?T=JS&amp;NEWS=n&amp;CSC=Y&amp;PAGE=booktext&amp;D=books&amp;SC=01434337&amp;EPUB=Y","https://ovidsp.ovid.com/ovidweb.cgi?T=JS&amp;NEWS=n&amp;CSC=Y&amp;PAGE=booktext&amp;D=books&amp;SC=01434337&amp;EPUB=Y")</f>
        <v>https://ovidsp.ovid.com/ovidweb.cgi?T=JS&amp;NEWS=n&amp;CSC=Y&amp;PAGE=booktext&amp;D=books&amp;SC=01434337&amp;EPUB=Y</v>
      </c>
      <c r="H613" s="8" t="s">
        <v>1795</v>
      </c>
    </row>
    <row r="614" spans="1:8" x14ac:dyDescent="0.3">
      <c r="A614" s="4" t="s">
        <v>598</v>
      </c>
      <c r="B614" s="5">
        <v>44893</v>
      </c>
      <c r="C614" s="6" t="s">
        <v>1624</v>
      </c>
      <c r="D614" s="6" t="s">
        <v>1646</v>
      </c>
      <c r="E614" s="6" t="s">
        <v>2503</v>
      </c>
      <c r="F614" s="6" t="s">
        <v>1208</v>
      </c>
      <c r="G614" s="7" t="str">
        <f>HYPERLINK("https://ovidsp.ovid.com/ovidweb.cgi?T=JS&amp;NEWS=n&amp;CSC=Y&amp;PAGE=booktext&amp;D=books&amp;SC=01647961&amp;EPUB=Y","https://ovidsp.ovid.com/ovidweb.cgi?T=JS&amp;NEWS=n&amp;CSC=Y&amp;PAGE=booktext&amp;D=books&amp;SC=01647961&amp;EPUB=Y")</f>
        <v>https://ovidsp.ovid.com/ovidweb.cgi?T=JS&amp;NEWS=n&amp;CSC=Y&amp;PAGE=booktext&amp;D=books&amp;SC=01647961&amp;EPUB=Y</v>
      </c>
      <c r="H614" s="8" t="s">
        <v>1795</v>
      </c>
    </row>
    <row r="615" spans="1:8" x14ac:dyDescent="0.3">
      <c r="A615" s="4" t="s">
        <v>2372</v>
      </c>
      <c r="B615" s="5">
        <v>44893</v>
      </c>
      <c r="C615" s="6" t="s">
        <v>2367</v>
      </c>
      <c r="D615" s="6" t="s">
        <v>1643</v>
      </c>
      <c r="E615" s="6" t="s">
        <v>2503</v>
      </c>
      <c r="F615" s="6" t="s">
        <v>1208</v>
      </c>
      <c r="G615" s="7" t="str">
        <f>HYPERLINK("https://ovidsp.ovid.com/ovidweb.cgi?T=JS&amp;NEWS=n&amp;CSC=Y&amp;PAGE=booktext&amp;D=books&amp;SC=01434415&amp;EPUB=Y","https://ovidsp.ovid.com/ovidweb.cgi?T=JS&amp;NEWS=n&amp;CSC=Y&amp;PAGE=booktext&amp;D=books&amp;SC=01434415&amp;EPUB=Y")</f>
        <v>https://ovidsp.ovid.com/ovidweb.cgi?T=JS&amp;NEWS=n&amp;CSC=Y&amp;PAGE=booktext&amp;D=books&amp;SC=01434415&amp;EPUB=Y</v>
      </c>
      <c r="H615" s="8" t="s">
        <v>1795</v>
      </c>
    </row>
    <row r="616" spans="1:8" x14ac:dyDescent="0.3">
      <c r="A616" s="4" t="s">
        <v>617</v>
      </c>
      <c r="B616" s="5">
        <v>44893</v>
      </c>
      <c r="C616" s="6" t="s">
        <v>2367</v>
      </c>
      <c r="D616" s="6" t="s">
        <v>1643</v>
      </c>
      <c r="E616" s="6" t="s">
        <v>2503</v>
      </c>
      <c r="F616" s="6" t="s">
        <v>1208</v>
      </c>
      <c r="G616" s="7" t="str">
        <f>HYPERLINK("https://ovidsp.ovid.com/ovidweb.cgi?T=JS&amp;NEWS=n&amp;CSC=Y&amp;PAGE=booktext&amp;D=books&amp;SC=01434257&amp;EPUB=Y","https://ovidsp.ovid.com/ovidweb.cgi?T=JS&amp;NEWS=n&amp;CSC=Y&amp;PAGE=booktext&amp;D=books&amp;SC=01434257&amp;EPUB=Y")</f>
        <v>https://ovidsp.ovid.com/ovidweb.cgi?T=JS&amp;NEWS=n&amp;CSC=Y&amp;PAGE=booktext&amp;D=books&amp;SC=01434257&amp;EPUB=Y</v>
      </c>
      <c r="H616" s="8" t="s">
        <v>1795</v>
      </c>
    </row>
    <row r="617" spans="1:8" x14ac:dyDescent="0.3">
      <c r="A617" s="4" t="s">
        <v>2322</v>
      </c>
      <c r="B617" s="5">
        <v>44893</v>
      </c>
      <c r="C617" s="6" t="s">
        <v>723</v>
      </c>
      <c r="D617" s="6" t="s">
        <v>2331</v>
      </c>
      <c r="E617" s="6" t="s">
        <v>2503</v>
      </c>
      <c r="F617" s="6" t="s">
        <v>1208</v>
      </c>
      <c r="G617" s="7" t="str">
        <f>HYPERLINK("https://ovidsp.ovid.com/ovidweb.cgi?T=JS&amp;NEWS=n&amp;CSC=Y&amp;PAGE=booktext&amp;D=books&amp;SC=01515473&amp;EPUB=Y","https://ovidsp.ovid.com/ovidweb.cgi?T=JS&amp;NEWS=n&amp;CSC=Y&amp;PAGE=booktext&amp;D=books&amp;SC=01515473&amp;EPUB=Y")</f>
        <v>https://ovidsp.ovid.com/ovidweb.cgi?T=JS&amp;NEWS=n&amp;CSC=Y&amp;PAGE=booktext&amp;D=books&amp;SC=01515473&amp;EPUB=Y</v>
      </c>
      <c r="H617" s="8" t="s">
        <v>1795</v>
      </c>
    </row>
    <row r="618" spans="1:8" x14ac:dyDescent="0.3">
      <c r="A618" s="4" t="s">
        <v>1004</v>
      </c>
      <c r="B618" s="5">
        <v>44893</v>
      </c>
      <c r="C618" s="6" t="s">
        <v>971</v>
      </c>
      <c r="D618" s="6" t="s">
        <v>2267</v>
      </c>
      <c r="E618" s="6" t="s">
        <v>2503</v>
      </c>
      <c r="F618" s="6" t="s">
        <v>1208</v>
      </c>
      <c r="G618" s="7" t="str">
        <f>HYPERLINK("https://ovidsp.ovid.com/ovidweb.cgi?T=JS&amp;NEWS=n&amp;CSC=Y&amp;PAGE=booktext&amp;D=books&amp;SC=01434541&amp;EPUB=Y","https://ovidsp.ovid.com/ovidweb.cgi?T=JS&amp;NEWS=n&amp;CSC=Y&amp;PAGE=booktext&amp;D=books&amp;SC=01434541&amp;EPUB=Y")</f>
        <v>https://ovidsp.ovid.com/ovidweb.cgi?T=JS&amp;NEWS=n&amp;CSC=Y&amp;PAGE=booktext&amp;D=books&amp;SC=01434541&amp;EPUB=Y</v>
      </c>
      <c r="H618" s="8" t="s">
        <v>1795</v>
      </c>
    </row>
    <row r="619" spans="1:8" x14ac:dyDescent="0.3">
      <c r="A619" s="4" t="s">
        <v>337</v>
      </c>
      <c r="B619" s="5">
        <v>44893</v>
      </c>
      <c r="C619" s="6" t="s">
        <v>2506</v>
      </c>
      <c r="D619" s="6" t="s">
        <v>1513</v>
      </c>
      <c r="E619" s="6" t="s">
        <v>2503</v>
      </c>
      <c r="F619" s="6" t="s">
        <v>241</v>
      </c>
      <c r="G619" s="7" t="str">
        <f>HYPERLINK("https://ovidsp.ovid.com/ovidweb.cgi?T=JS&amp;NEWS=n&amp;CSC=Y&amp;PAGE=booktext&amp;D=books&amp;SC=01434554&amp;EPUB=Y","https://ovidsp.ovid.com/ovidweb.cgi?T=JS&amp;NEWS=n&amp;CSC=Y&amp;PAGE=booktext&amp;D=books&amp;SC=01434554&amp;EPUB=Y")</f>
        <v>https://ovidsp.ovid.com/ovidweb.cgi?T=JS&amp;NEWS=n&amp;CSC=Y&amp;PAGE=booktext&amp;D=books&amp;SC=01434554&amp;EPUB=Y</v>
      </c>
      <c r="H619" s="8" t="s">
        <v>1795</v>
      </c>
    </row>
    <row r="620" spans="1:8" x14ac:dyDescent="0.3">
      <c r="A620" s="4" t="s">
        <v>1291</v>
      </c>
      <c r="B620" s="5">
        <v>44893</v>
      </c>
      <c r="C620" s="6" t="s">
        <v>1565</v>
      </c>
      <c r="D620" s="6" t="s">
        <v>1030</v>
      </c>
      <c r="E620" s="6" t="s">
        <v>2503</v>
      </c>
      <c r="F620" s="6" t="s">
        <v>1208</v>
      </c>
      <c r="G620" s="7" t="str">
        <f>HYPERLINK("https://ovidsp.ovid.com/ovidweb.cgi?T=JS&amp;NEWS=n&amp;CSC=Y&amp;PAGE=booktext&amp;D=books&amp;SC=02260725&amp;EPUB=Y","https://ovidsp.ovid.com/ovidweb.cgi?T=JS&amp;NEWS=n&amp;CSC=Y&amp;PAGE=booktext&amp;D=books&amp;SC=02260725&amp;EPUB=Y")</f>
        <v>https://ovidsp.ovid.com/ovidweb.cgi?T=JS&amp;NEWS=n&amp;CSC=Y&amp;PAGE=booktext&amp;D=books&amp;SC=02260725&amp;EPUB=Y</v>
      </c>
      <c r="H620" s="8" t="s">
        <v>1795</v>
      </c>
    </row>
    <row r="621" spans="1:8" x14ac:dyDescent="0.3">
      <c r="A621" s="4" t="s">
        <v>314</v>
      </c>
      <c r="B621" s="5">
        <v>44893</v>
      </c>
      <c r="C621" s="6" t="s">
        <v>734</v>
      </c>
      <c r="D621" s="6" t="s">
        <v>620</v>
      </c>
      <c r="E621" s="6" t="s">
        <v>2503</v>
      </c>
      <c r="F621" s="6" t="s">
        <v>1208</v>
      </c>
      <c r="G621" s="7" t="str">
        <f>HYPERLINK("https://ovidsp.ovid.com/ovidweb.cgi?T=JS&amp;NEWS=n&amp;CSC=Y&amp;PAGE=booktext&amp;D=books&amp;SC=01949552&amp;EPUB=Y","https://ovidsp.ovid.com/ovidweb.cgi?T=JS&amp;NEWS=n&amp;CSC=Y&amp;PAGE=booktext&amp;D=books&amp;SC=01949552&amp;EPUB=Y")</f>
        <v>https://ovidsp.ovid.com/ovidweb.cgi?T=JS&amp;NEWS=n&amp;CSC=Y&amp;PAGE=booktext&amp;D=books&amp;SC=01949552&amp;EPUB=Y</v>
      </c>
      <c r="H621" s="8" t="s">
        <v>1795</v>
      </c>
    </row>
    <row r="622" spans="1:8" x14ac:dyDescent="0.3">
      <c r="A622" s="4" t="s">
        <v>895</v>
      </c>
      <c r="B622" s="5">
        <v>44893</v>
      </c>
      <c r="C622" s="6" t="s">
        <v>2367</v>
      </c>
      <c r="D622" s="6" t="s">
        <v>1643</v>
      </c>
      <c r="E622" s="6" t="s">
        <v>2503</v>
      </c>
      <c r="F622" s="6" t="s">
        <v>1208</v>
      </c>
      <c r="G622" s="7" t="str">
        <f>HYPERLINK("https://ovidsp.ovid.com/ovidweb.cgi?T=JS&amp;NEWS=n&amp;CSC=Y&amp;PAGE=booktext&amp;D=books&amp;SC=01434333&amp;EPUB=Y","https://ovidsp.ovid.com/ovidweb.cgi?T=JS&amp;NEWS=n&amp;CSC=Y&amp;PAGE=booktext&amp;D=books&amp;SC=01434333&amp;EPUB=Y")</f>
        <v>https://ovidsp.ovid.com/ovidweb.cgi?T=JS&amp;NEWS=n&amp;CSC=Y&amp;PAGE=booktext&amp;D=books&amp;SC=01434333&amp;EPUB=Y</v>
      </c>
      <c r="H622" s="8" t="s">
        <v>1795</v>
      </c>
    </row>
    <row r="623" spans="1:8" x14ac:dyDescent="0.3">
      <c r="A623" s="4" t="s">
        <v>137</v>
      </c>
      <c r="B623" s="5">
        <v>44893</v>
      </c>
      <c r="C623" s="6" t="s">
        <v>840</v>
      </c>
      <c r="D623" s="6" t="s">
        <v>1021</v>
      </c>
      <c r="E623" s="6" t="s">
        <v>2503</v>
      </c>
      <c r="F623" s="6" t="s">
        <v>1208</v>
      </c>
      <c r="G623" s="7" t="str">
        <f>HYPERLINK("https://ovidsp.ovid.com/ovidweb.cgi?T=JS&amp;NEWS=n&amp;CSC=Y&amp;PAGE=booktext&amp;D=books&amp;SC=01436839&amp;EPUB=Y","https://ovidsp.ovid.com/ovidweb.cgi?T=JS&amp;NEWS=n&amp;CSC=Y&amp;PAGE=booktext&amp;D=books&amp;SC=01436839&amp;EPUB=Y")</f>
        <v>https://ovidsp.ovid.com/ovidweb.cgi?T=JS&amp;NEWS=n&amp;CSC=Y&amp;PAGE=booktext&amp;D=books&amp;SC=01436839&amp;EPUB=Y</v>
      </c>
      <c r="H623" s="8" t="s">
        <v>1795</v>
      </c>
    </row>
    <row r="624" spans="1:8" x14ac:dyDescent="0.3">
      <c r="A624" s="4" t="s">
        <v>2369</v>
      </c>
      <c r="B624" s="5">
        <v>44893</v>
      </c>
      <c r="C624" s="6" t="s">
        <v>526</v>
      </c>
      <c r="D624" s="6" t="s">
        <v>2135</v>
      </c>
      <c r="E624" s="6" t="s">
        <v>2503</v>
      </c>
      <c r="F624" s="6" t="s">
        <v>1208</v>
      </c>
      <c r="G624" s="7" t="str">
        <f>HYPERLINK("https://ovidsp.ovid.com/ovidweb.cgi?T=JS&amp;NEWS=n&amp;CSC=Y&amp;PAGE=booktext&amp;D=books&amp;SC=01435030&amp;EPUB=Y","https://ovidsp.ovid.com/ovidweb.cgi?T=JS&amp;NEWS=n&amp;CSC=Y&amp;PAGE=booktext&amp;D=books&amp;SC=01435030&amp;EPUB=Y")</f>
        <v>https://ovidsp.ovid.com/ovidweb.cgi?T=JS&amp;NEWS=n&amp;CSC=Y&amp;PAGE=booktext&amp;D=books&amp;SC=01435030&amp;EPUB=Y</v>
      </c>
      <c r="H624" s="8" t="s">
        <v>1795</v>
      </c>
    </row>
    <row r="625" spans="1:8" x14ac:dyDescent="0.3">
      <c r="A625" s="4" t="s">
        <v>201</v>
      </c>
      <c r="B625" s="5">
        <v>44893</v>
      </c>
      <c r="C625" s="6" t="s">
        <v>1068</v>
      </c>
      <c r="D625" s="6" t="s">
        <v>229</v>
      </c>
      <c r="E625" s="6" t="s">
        <v>2503</v>
      </c>
      <c r="F625" s="6" t="s">
        <v>1208</v>
      </c>
      <c r="G625" s="7" t="str">
        <f>HYPERLINK("https://ovidsp.ovid.com/ovidweb.cgi?T=JS&amp;NEWS=n&amp;CSC=Y&amp;PAGE=booktext&amp;D=books&amp;SC=01434369&amp;EPUB=Y","https://ovidsp.ovid.com/ovidweb.cgi?T=JS&amp;NEWS=n&amp;CSC=Y&amp;PAGE=booktext&amp;D=books&amp;SC=01434369&amp;EPUB=Y")</f>
        <v>https://ovidsp.ovid.com/ovidweb.cgi?T=JS&amp;NEWS=n&amp;CSC=Y&amp;PAGE=booktext&amp;D=books&amp;SC=01434369&amp;EPUB=Y</v>
      </c>
      <c r="H625" s="8" t="s">
        <v>1795</v>
      </c>
    </row>
    <row r="626" spans="1:8" x14ac:dyDescent="0.3">
      <c r="A626" s="4" t="s">
        <v>693</v>
      </c>
      <c r="B626" s="5">
        <v>44893</v>
      </c>
      <c r="C626" s="6" t="s">
        <v>2367</v>
      </c>
      <c r="D626" s="6" t="s">
        <v>1643</v>
      </c>
      <c r="E626" s="6" t="s">
        <v>2503</v>
      </c>
      <c r="F626" s="6" t="s">
        <v>1208</v>
      </c>
      <c r="G626" s="7" t="str">
        <f>HYPERLINK("https://ovidsp.ovid.com/ovidweb.cgi?T=JS&amp;NEWS=n&amp;CSC=Y&amp;PAGE=booktext&amp;D=books&amp;SC=01434466&amp;EPUB=Y","https://ovidsp.ovid.com/ovidweb.cgi?T=JS&amp;NEWS=n&amp;CSC=Y&amp;PAGE=booktext&amp;D=books&amp;SC=01434466&amp;EPUB=Y")</f>
        <v>https://ovidsp.ovid.com/ovidweb.cgi?T=JS&amp;NEWS=n&amp;CSC=Y&amp;PAGE=booktext&amp;D=books&amp;SC=01434466&amp;EPUB=Y</v>
      </c>
      <c r="H626" s="8" t="s">
        <v>1795</v>
      </c>
    </row>
    <row r="627" spans="1:8" x14ac:dyDescent="0.3">
      <c r="A627" s="4" t="s">
        <v>957</v>
      </c>
      <c r="B627" s="5">
        <v>44893</v>
      </c>
      <c r="C627" s="6" t="s">
        <v>221</v>
      </c>
      <c r="D627" s="6" t="s">
        <v>1011</v>
      </c>
      <c r="E627" s="6" t="s">
        <v>2503</v>
      </c>
      <c r="F627" s="6" t="s">
        <v>1208</v>
      </c>
      <c r="G627" s="7" t="str">
        <f>HYPERLINK("https://ovidsp.ovid.com/ovidweb.cgi?T=JS&amp;NEWS=n&amp;CSC=Y&amp;PAGE=booktext&amp;D=books&amp;SC=01990629&amp;EPUB=Y","https://ovidsp.ovid.com/ovidweb.cgi?T=JS&amp;NEWS=n&amp;CSC=Y&amp;PAGE=booktext&amp;D=books&amp;SC=01990629&amp;EPUB=Y")</f>
        <v>https://ovidsp.ovid.com/ovidweb.cgi?T=JS&amp;NEWS=n&amp;CSC=Y&amp;PAGE=booktext&amp;D=books&amp;SC=01990629&amp;EPUB=Y</v>
      </c>
      <c r="H627" s="8" t="s">
        <v>1795</v>
      </c>
    </row>
    <row r="628" spans="1:8" x14ac:dyDescent="0.3">
      <c r="A628" s="4" t="s">
        <v>957</v>
      </c>
      <c r="B628" s="5">
        <v>44893</v>
      </c>
      <c r="C628" s="6" t="s">
        <v>402</v>
      </c>
      <c r="D628" s="6" t="s">
        <v>2251</v>
      </c>
      <c r="E628" s="6" t="s">
        <v>2503</v>
      </c>
      <c r="F628" s="6" t="s">
        <v>1208</v>
      </c>
      <c r="G628" s="7" t="str">
        <f>HYPERLINK("https://ovidsp.ovid.com/ovidweb.cgi?T=JS&amp;NEWS=n&amp;CSC=Y&amp;PAGE=booktext&amp;D=books&amp;SC=01787199&amp;EPUB=Y","https://ovidsp.ovid.com/ovidweb.cgi?T=JS&amp;NEWS=n&amp;CSC=Y&amp;PAGE=booktext&amp;D=books&amp;SC=01787199&amp;EPUB=Y")</f>
        <v>https://ovidsp.ovid.com/ovidweb.cgi?T=JS&amp;NEWS=n&amp;CSC=Y&amp;PAGE=booktext&amp;D=books&amp;SC=01787199&amp;EPUB=Y</v>
      </c>
      <c r="H628" s="8" t="s">
        <v>1795</v>
      </c>
    </row>
    <row r="629" spans="1:8" x14ac:dyDescent="0.3">
      <c r="A629" s="4" t="s">
        <v>305</v>
      </c>
      <c r="B629" s="5">
        <v>44893</v>
      </c>
      <c r="C629" s="6" t="s">
        <v>1219</v>
      </c>
      <c r="D629" s="6" t="s">
        <v>161</v>
      </c>
      <c r="E629" s="6" t="s">
        <v>2503</v>
      </c>
      <c r="F629" s="6" t="s">
        <v>1208</v>
      </c>
      <c r="G629" s="7" t="str">
        <f>HYPERLINK("https://ovidsp.ovid.com/ovidweb.cgi?T=JS&amp;NEWS=n&amp;CSC=Y&amp;PAGE=booktext&amp;D=books&amp;SC=01943951&amp;EPUB=Y","https://ovidsp.ovid.com/ovidweb.cgi?T=JS&amp;NEWS=n&amp;CSC=Y&amp;PAGE=booktext&amp;D=books&amp;SC=01943951&amp;EPUB=Y")</f>
        <v>https://ovidsp.ovid.com/ovidweb.cgi?T=JS&amp;NEWS=n&amp;CSC=Y&amp;PAGE=booktext&amp;D=books&amp;SC=01943951&amp;EPUB=Y</v>
      </c>
      <c r="H629" s="8" t="s">
        <v>1795</v>
      </c>
    </row>
    <row r="630" spans="1:8" x14ac:dyDescent="0.3">
      <c r="A630" s="4" t="s">
        <v>1043</v>
      </c>
      <c r="B630" s="5">
        <v>44893</v>
      </c>
      <c r="C630" s="6" t="s">
        <v>2043</v>
      </c>
      <c r="D630" s="6" t="s">
        <v>2474</v>
      </c>
      <c r="E630" s="6" t="s">
        <v>2503</v>
      </c>
      <c r="F630" s="6" t="s">
        <v>1208</v>
      </c>
      <c r="G630" s="7" t="str">
        <f>HYPERLINK("https://ovidsp.ovid.com/ovidweb.cgi?T=JS&amp;NEWS=n&amp;CSC=Y&amp;PAGE=booktext&amp;D=books&amp;SC=01434662&amp;EPUB=Y","https://ovidsp.ovid.com/ovidweb.cgi?T=JS&amp;NEWS=n&amp;CSC=Y&amp;PAGE=booktext&amp;D=books&amp;SC=01434662&amp;EPUB=Y")</f>
        <v>https://ovidsp.ovid.com/ovidweb.cgi?T=JS&amp;NEWS=n&amp;CSC=Y&amp;PAGE=booktext&amp;D=books&amp;SC=01434662&amp;EPUB=Y</v>
      </c>
      <c r="H630" s="8" t="s">
        <v>1795</v>
      </c>
    </row>
    <row r="631" spans="1:8" x14ac:dyDescent="0.3">
      <c r="A631" s="4" t="s">
        <v>2453</v>
      </c>
      <c r="B631" s="5">
        <v>44893</v>
      </c>
      <c r="C631" s="6" t="s">
        <v>1591</v>
      </c>
      <c r="D631" s="6" t="s">
        <v>907</v>
      </c>
      <c r="E631" s="6" t="s">
        <v>2503</v>
      </c>
      <c r="F631" s="6" t="s">
        <v>1208</v>
      </c>
      <c r="G631" s="7" t="str">
        <f>HYPERLINK("https://ovidsp.ovid.com/ovidweb.cgi?T=JS&amp;NEWS=n&amp;CSC=Y&amp;PAGE=booktext&amp;D=books&amp;SC=01434526&amp;EPUB=Y","https://ovidsp.ovid.com/ovidweb.cgi?T=JS&amp;NEWS=n&amp;CSC=Y&amp;PAGE=booktext&amp;D=books&amp;SC=01434526&amp;EPUB=Y")</f>
        <v>https://ovidsp.ovid.com/ovidweb.cgi?T=JS&amp;NEWS=n&amp;CSC=Y&amp;PAGE=booktext&amp;D=books&amp;SC=01434526&amp;EPUB=Y</v>
      </c>
      <c r="H631" s="8" t="s">
        <v>1795</v>
      </c>
    </row>
    <row r="632" spans="1:8" x14ac:dyDescent="0.3">
      <c r="A632" s="4" t="s">
        <v>89</v>
      </c>
      <c r="B632" s="5">
        <v>44893</v>
      </c>
      <c r="C632" s="6" t="s">
        <v>2367</v>
      </c>
      <c r="D632" s="6" t="s">
        <v>1643</v>
      </c>
      <c r="E632" s="6" t="s">
        <v>2503</v>
      </c>
      <c r="F632" s="6" t="s">
        <v>1208</v>
      </c>
      <c r="G632" s="7" t="str">
        <f>HYPERLINK("https://ovidsp.ovid.com/ovidweb.cgi?T=JS&amp;NEWS=n&amp;CSC=Y&amp;PAGE=booktext&amp;D=books&amp;SC=01434450&amp;EPUB=Y","https://ovidsp.ovid.com/ovidweb.cgi?T=JS&amp;NEWS=n&amp;CSC=Y&amp;PAGE=booktext&amp;D=books&amp;SC=01434450&amp;EPUB=Y")</f>
        <v>https://ovidsp.ovid.com/ovidweb.cgi?T=JS&amp;NEWS=n&amp;CSC=Y&amp;PAGE=booktext&amp;D=books&amp;SC=01434450&amp;EPUB=Y</v>
      </c>
      <c r="H632" s="8" t="s">
        <v>1795</v>
      </c>
    </row>
    <row r="633" spans="1:8" x14ac:dyDescent="0.3">
      <c r="A633" s="4" t="s">
        <v>1042</v>
      </c>
      <c r="B633" s="5">
        <v>44893</v>
      </c>
      <c r="C633" s="6" t="s">
        <v>2341</v>
      </c>
      <c r="D633" s="6" t="s">
        <v>1960</v>
      </c>
      <c r="E633" s="6" t="s">
        <v>2503</v>
      </c>
      <c r="F633" s="6" t="s">
        <v>1208</v>
      </c>
      <c r="G633" s="7" t="str">
        <f>HYPERLINK("https://ovidsp.ovid.com/ovidweb.cgi?T=JS&amp;NEWS=n&amp;CSC=Y&amp;PAGE=booktext&amp;D=books&amp;SC=02272519&amp;EPUB=Y","https://ovidsp.ovid.com/ovidweb.cgi?T=JS&amp;NEWS=n&amp;CSC=Y&amp;PAGE=booktext&amp;D=books&amp;SC=02272519&amp;EPUB=Y")</f>
        <v>https://ovidsp.ovid.com/ovidweb.cgi?T=JS&amp;NEWS=n&amp;CSC=Y&amp;PAGE=booktext&amp;D=books&amp;SC=02272519&amp;EPUB=Y</v>
      </c>
      <c r="H633" s="8" t="s">
        <v>1795</v>
      </c>
    </row>
    <row r="634" spans="1:8" x14ac:dyDescent="0.3">
      <c r="A634" s="4" t="s">
        <v>1950</v>
      </c>
      <c r="B634" s="5">
        <v>44893</v>
      </c>
      <c r="C634" s="6" t="s">
        <v>1127</v>
      </c>
      <c r="D634" s="6" t="s">
        <v>661</v>
      </c>
      <c r="E634" s="6" t="s">
        <v>2503</v>
      </c>
      <c r="F634" s="6" t="s">
        <v>1208</v>
      </c>
      <c r="G634" s="7" t="str">
        <f>HYPERLINK("https://ovidsp.ovid.com/ovidweb.cgi?T=JS&amp;NEWS=n&amp;CSC=Y&amp;PAGE=booktext&amp;D=books&amp;SC=02102018&amp;EPUB=Y","https://ovidsp.ovid.com/ovidweb.cgi?T=JS&amp;NEWS=n&amp;CSC=Y&amp;PAGE=booktext&amp;D=books&amp;SC=02102018&amp;EPUB=Y")</f>
        <v>https://ovidsp.ovid.com/ovidweb.cgi?T=JS&amp;NEWS=n&amp;CSC=Y&amp;PAGE=booktext&amp;D=books&amp;SC=02102018&amp;EPUB=Y</v>
      </c>
      <c r="H634" s="8" t="s">
        <v>1795</v>
      </c>
    </row>
    <row r="635" spans="1:8" x14ac:dyDescent="0.3">
      <c r="A635" s="4" t="s">
        <v>1346</v>
      </c>
      <c r="B635" s="5">
        <v>44893</v>
      </c>
      <c r="C635" s="6" t="s">
        <v>227</v>
      </c>
      <c r="D635" s="6" t="s">
        <v>853</v>
      </c>
      <c r="E635" s="6" t="s">
        <v>2503</v>
      </c>
      <c r="F635" s="6" t="s">
        <v>1208</v>
      </c>
      <c r="G635" s="7" t="str">
        <f>HYPERLINK("https://ovidsp.ovid.com/ovidweb.cgi?T=JS&amp;NEWS=n&amp;CSC=Y&amp;PAGE=booktext&amp;D=books&amp;SC=01434641&amp;EPUB=Y","https://ovidsp.ovid.com/ovidweb.cgi?T=JS&amp;NEWS=n&amp;CSC=Y&amp;PAGE=booktext&amp;D=books&amp;SC=01434641&amp;EPUB=Y")</f>
        <v>https://ovidsp.ovid.com/ovidweb.cgi?T=JS&amp;NEWS=n&amp;CSC=Y&amp;PAGE=booktext&amp;D=books&amp;SC=01434641&amp;EPUB=Y</v>
      </c>
      <c r="H635" s="8" t="s">
        <v>1795</v>
      </c>
    </row>
    <row r="636" spans="1:8" x14ac:dyDescent="0.3">
      <c r="A636" s="4" t="s">
        <v>561</v>
      </c>
      <c r="B636" s="5">
        <v>44893</v>
      </c>
      <c r="C636" s="6" t="s">
        <v>1510</v>
      </c>
      <c r="D636" s="6" t="s">
        <v>752</v>
      </c>
      <c r="E636" s="6" t="s">
        <v>2503</v>
      </c>
      <c r="F636" s="6" t="s">
        <v>1208</v>
      </c>
      <c r="G636" s="7" t="str">
        <f>HYPERLINK("https://ovidsp.ovid.com/ovidweb.cgi?T=JS&amp;NEWS=n&amp;CSC=Y&amp;PAGE=booktext&amp;D=books&amp;SC=01434623&amp;EPUB=Y","https://ovidsp.ovid.com/ovidweb.cgi?T=JS&amp;NEWS=n&amp;CSC=Y&amp;PAGE=booktext&amp;D=books&amp;SC=01434623&amp;EPUB=Y")</f>
        <v>https://ovidsp.ovid.com/ovidweb.cgi?T=JS&amp;NEWS=n&amp;CSC=Y&amp;PAGE=booktext&amp;D=books&amp;SC=01434623&amp;EPUB=Y</v>
      </c>
      <c r="H636" s="8" t="s">
        <v>1795</v>
      </c>
    </row>
    <row r="637" spans="1:8" x14ac:dyDescent="0.3">
      <c r="A637" s="4" t="s">
        <v>1033</v>
      </c>
      <c r="B637" s="5">
        <v>44893</v>
      </c>
      <c r="C637" s="6" t="s">
        <v>2174</v>
      </c>
      <c r="D637" s="6" t="s">
        <v>589</v>
      </c>
      <c r="E637" s="6" t="s">
        <v>2503</v>
      </c>
      <c r="F637" s="6" t="s">
        <v>1208</v>
      </c>
      <c r="G637" s="7" t="str">
        <f>HYPERLINK("https://ovidsp.ovid.com/ovidweb.cgi?T=JS&amp;NEWS=n&amp;CSC=Y&amp;PAGE=booktext&amp;D=books&amp;SC=01607925&amp;EPUB=Y","https://ovidsp.ovid.com/ovidweb.cgi?T=JS&amp;NEWS=n&amp;CSC=Y&amp;PAGE=booktext&amp;D=books&amp;SC=01607925&amp;EPUB=Y")</f>
        <v>https://ovidsp.ovid.com/ovidweb.cgi?T=JS&amp;NEWS=n&amp;CSC=Y&amp;PAGE=booktext&amp;D=books&amp;SC=01607925&amp;EPUB=Y</v>
      </c>
      <c r="H637" s="8" t="s">
        <v>1795</v>
      </c>
    </row>
    <row r="638" spans="1:8" x14ac:dyDescent="0.3">
      <c r="A638" s="4" t="s">
        <v>1918</v>
      </c>
      <c r="B638" s="5">
        <v>44893</v>
      </c>
      <c r="C638" s="6" t="s">
        <v>2211</v>
      </c>
      <c r="D638" s="6" t="s">
        <v>2543</v>
      </c>
      <c r="E638" s="6" t="s">
        <v>2503</v>
      </c>
      <c r="F638" s="6" t="s">
        <v>1208</v>
      </c>
      <c r="G638" s="7" t="str">
        <f>HYPERLINK("https://ovidsp.ovid.com/ovidweb.cgi?T=JS&amp;NEWS=n&amp;CSC=Y&amp;PAGE=booktext&amp;D=books&amp;SC=01745967&amp;EPUB=Y","https://ovidsp.ovid.com/ovidweb.cgi?T=JS&amp;NEWS=n&amp;CSC=Y&amp;PAGE=booktext&amp;D=books&amp;SC=01745967&amp;EPUB=Y")</f>
        <v>https://ovidsp.ovid.com/ovidweb.cgi?T=JS&amp;NEWS=n&amp;CSC=Y&amp;PAGE=booktext&amp;D=books&amp;SC=01745967&amp;EPUB=Y</v>
      </c>
      <c r="H638" s="8" t="s">
        <v>1795</v>
      </c>
    </row>
    <row r="639" spans="1:8" x14ac:dyDescent="0.3">
      <c r="A639" s="4" t="s">
        <v>2358</v>
      </c>
      <c r="B639" s="5">
        <v>44893</v>
      </c>
      <c r="C639" s="6" t="s">
        <v>2367</v>
      </c>
      <c r="D639" s="6" t="s">
        <v>1643</v>
      </c>
      <c r="E639" s="6" t="s">
        <v>2503</v>
      </c>
      <c r="F639" s="6" t="s">
        <v>1208</v>
      </c>
      <c r="G639" s="7" t="str">
        <f>HYPERLINK("https://ovidsp.ovid.com/ovidweb.cgi?T=JS&amp;NEWS=n&amp;CSC=Y&amp;PAGE=booktext&amp;D=books&amp;SC=01434460&amp;EPUB=Y","https://ovidsp.ovid.com/ovidweb.cgi?T=JS&amp;NEWS=n&amp;CSC=Y&amp;PAGE=booktext&amp;D=books&amp;SC=01434460&amp;EPUB=Y")</f>
        <v>https://ovidsp.ovid.com/ovidweb.cgi?T=JS&amp;NEWS=n&amp;CSC=Y&amp;PAGE=booktext&amp;D=books&amp;SC=01434460&amp;EPUB=Y</v>
      </c>
      <c r="H639" s="8" t="s">
        <v>1795</v>
      </c>
    </row>
    <row r="640" spans="1:8" x14ac:dyDescent="0.3">
      <c r="A640" s="4" t="s">
        <v>1132</v>
      </c>
      <c r="B640" s="5">
        <v>44893</v>
      </c>
      <c r="C640" s="6" t="s">
        <v>2486</v>
      </c>
      <c r="D640" s="6" t="s">
        <v>254</v>
      </c>
      <c r="E640" s="6" t="s">
        <v>2503</v>
      </c>
      <c r="F640" s="6" t="s">
        <v>1208</v>
      </c>
      <c r="G640" s="7" t="str">
        <f>HYPERLINK("https://ovidsp.ovid.com/ovidweb.cgi?T=JS&amp;NEWS=n&amp;CSC=Y&amp;PAGE=booktext&amp;D=books&amp;SC=01807315&amp;EPUB=Y","https://ovidsp.ovid.com/ovidweb.cgi?T=JS&amp;NEWS=n&amp;CSC=Y&amp;PAGE=booktext&amp;D=books&amp;SC=01807315&amp;EPUB=Y")</f>
        <v>https://ovidsp.ovid.com/ovidweb.cgi?T=JS&amp;NEWS=n&amp;CSC=Y&amp;PAGE=booktext&amp;D=books&amp;SC=01807315&amp;EPUB=Y</v>
      </c>
      <c r="H640" s="8" t="s">
        <v>1795</v>
      </c>
    </row>
    <row r="641" spans="1:8" x14ac:dyDescent="0.3">
      <c r="A641" s="4" t="s">
        <v>2498</v>
      </c>
      <c r="B641" s="5">
        <v>44893</v>
      </c>
      <c r="C641" s="6" t="s">
        <v>1590</v>
      </c>
      <c r="D641" s="6" t="s">
        <v>1692</v>
      </c>
      <c r="E641" s="6" t="s">
        <v>2503</v>
      </c>
      <c r="F641" s="6" t="s">
        <v>1208</v>
      </c>
      <c r="G641" s="7" t="str">
        <f>HYPERLINK("https://ovidsp.ovid.com/ovidweb.cgi?T=JS&amp;NEWS=n&amp;CSC=Y&amp;PAGE=booktext&amp;D=books&amp;SC=01990631&amp;EPUB=Y","https://ovidsp.ovid.com/ovidweb.cgi?T=JS&amp;NEWS=n&amp;CSC=Y&amp;PAGE=booktext&amp;D=books&amp;SC=01990631&amp;EPUB=Y")</f>
        <v>https://ovidsp.ovid.com/ovidweb.cgi?T=JS&amp;NEWS=n&amp;CSC=Y&amp;PAGE=booktext&amp;D=books&amp;SC=01990631&amp;EPUB=Y</v>
      </c>
      <c r="H641" s="8" t="s">
        <v>1795</v>
      </c>
    </row>
    <row r="642" spans="1:8" x14ac:dyDescent="0.3">
      <c r="A642" s="4" t="s">
        <v>2022</v>
      </c>
      <c r="B642" s="5">
        <v>44893</v>
      </c>
      <c r="C642" s="6" t="s">
        <v>1802</v>
      </c>
      <c r="D642" s="6" t="s">
        <v>2167</v>
      </c>
      <c r="E642" s="6" t="s">
        <v>2503</v>
      </c>
      <c r="F642" s="6" t="s">
        <v>1208</v>
      </c>
      <c r="G642" s="7" t="str">
        <f>HYPERLINK("https://ovidsp.ovid.com/ovidweb.cgi?T=JS&amp;NEWS=n&amp;CSC=Y&amp;PAGE=booktext&amp;D=books&amp;SC=01438237&amp;EPUB=Y","https://ovidsp.ovid.com/ovidweb.cgi?T=JS&amp;NEWS=n&amp;CSC=Y&amp;PAGE=booktext&amp;D=books&amp;SC=01438237&amp;EPUB=Y")</f>
        <v>https://ovidsp.ovid.com/ovidweb.cgi?T=JS&amp;NEWS=n&amp;CSC=Y&amp;PAGE=booktext&amp;D=books&amp;SC=01438237&amp;EPUB=Y</v>
      </c>
      <c r="H642" s="8" t="s">
        <v>1795</v>
      </c>
    </row>
    <row r="643" spans="1:8" x14ac:dyDescent="0.3">
      <c r="A643" s="4" t="s">
        <v>2198</v>
      </c>
      <c r="B643" s="5">
        <v>44893</v>
      </c>
      <c r="C643" s="6" t="s">
        <v>2367</v>
      </c>
      <c r="D643" s="6" t="s">
        <v>1643</v>
      </c>
      <c r="E643" s="6" t="s">
        <v>2503</v>
      </c>
      <c r="F643" s="6" t="s">
        <v>1208</v>
      </c>
      <c r="G643" s="7" t="str">
        <f>HYPERLINK("https://ovidsp.ovid.com/ovidweb.cgi?T=JS&amp;NEWS=n&amp;CSC=Y&amp;PAGE=booktext&amp;D=books&amp;SC=01434432&amp;EPUB=Y","https://ovidsp.ovid.com/ovidweb.cgi?T=JS&amp;NEWS=n&amp;CSC=Y&amp;PAGE=booktext&amp;D=books&amp;SC=01434432&amp;EPUB=Y")</f>
        <v>https://ovidsp.ovid.com/ovidweb.cgi?T=JS&amp;NEWS=n&amp;CSC=Y&amp;PAGE=booktext&amp;D=books&amp;SC=01434432&amp;EPUB=Y</v>
      </c>
      <c r="H643" s="8" t="s">
        <v>1795</v>
      </c>
    </row>
    <row r="644" spans="1:8" x14ac:dyDescent="0.3">
      <c r="A644" s="4" t="s">
        <v>2315</v>
      </c>
      <c r="B644" s="5">
        <v>44893</v>
      </c>
      <c r="C644" s="6" t="s">
        <v>2367</v>
      </c>
      <c r="D644" s="6" t="s">
        <v>1643</v>
      </c>
      <c r="E644" s="6" t="s">
        <v>2503</v>
      </c>
      <c r="F644" s="6" t="s">
        <v>1208</v>
      </c>
      <c r="G644" s="7" t="str">
        <f>HYPERLINK("https://ovidsp.ovid.com/ovidweb.cgi?T=JS&amp;NEWS=n&amp;CSC=Y&amp;PAGE=booktext&amp;D=books&amp;SC=01434355&amp;EPUB=Y","https://ovidsp.ovid.com/ovidweb.cgi?T=JS&amp;NEWS=n&amp;CSC=Y&amp;PAGE=booktext&amp;D=books&amp;SC=01434355&amp;EPUB=Y")</f>
        <v>https://ovidsp.ovid.com/ovidweb.cgi?T=JS&amp;NEWS=n&amp;CSC=Y&amp;PAGE=booktext&amp;D=books&amp;SC=01434355&amp;EPUB=Y</v>
      </c>
      <c r="H644" s="8" t="s">
        <v>1795</v>
      </c>
    </row>
    <row r="645" spans="1:8" x14ac:dyDescent="0.3">
      <c r="A645" s="4" t="s">
        <v>1168</v>
      </c>
      <c r="B645" s="5">
        <v>44893</v>
      </c>
      <c r="C645" s="6" t="s">
        <v>1144</v>
      </c>
      <c r="D645" s="6" t="s">
        <v>2327</v>
      </c>
      <c r="E645" s="6" t="s">
        <v>2503</v>
      </c>
      <c r="F645" s="6" t="s">
        <v>1208</v>
      </c>
      <c r="G645" s="7" t="str">
        <f>HYPERLINK("https://ovidsp.ovid.com/ovidweb.cgi?T=JS&amp;NEWS=n&amp;CSC=Y&amp;PAGE=booktext&amp;D=books&amp;SC=01867008&amp;EPUB=Y","https://ovidsp.ovid.com/ovidweb.cgi?T=JS&amp;NEWS=n&amp;CSC=Y&amp;PAGE=booktext&amp;D=books&amp;SC=01867008&amp;EPUB=Y")</f>
        <v>https://ovidsp.ovid.com/ovidweb.cgi?T=JS&amp;NEWS=n&amp;CSC=Y&amp;PAGE=booktext&amp;D=books&amp;SC=01867008&amp;EPUB=Y</v>
      </c>
      <c r="H645" s="8" t="s">
        <v>1795</v>
      </c>
    </row>
    <row r="646" spans="1:8" x14ac:dyDescent="0.3">
      <c r="A646" s="4" t="s">
        <v>376</v>
      </c>
      <c r="B646" s="5">
        <v>44893</v>
      </c>
      <c r="C646" s="6" t="s">
        <v>2367</v>
      </c>
      <c r="D646" s="6" t="s">
        <v>1643</v>
      </c>
      <c r="E646" s="6" t="s">
        <v>2503</v>
      </c>
      <c r="F646" s="6" t="s">
        <v>1208</v>
      </c>
      <c r="G646" s="7" t="str">
        <f>HYPERLINK("https://ovidsp.ovid.com/ovidweb.cgi?T=JS&amp;NEWS=n&amp;CSC=Y&amp;PAGE=booktext&amp;D=books&amp;SC=01434336&amp;EPUB=Y","https://ovidsp.ovid.com/ovidweb.cgi?T=JS&amp;NEWS=n&amp;CSC=Y&amp;PAGE=booktext&amp;D=books&amp;SC=01434336&amp;EPUB=Y")</f>
        <v>https://ovidsp.ovid.com/ovidweb.cgi?T=JS&amp;NEWS=n&amp;CSC=Y&amp;PAGE=booktext&amp;D=books&amp;SC=01434336&amp;EPUB=Y</v>
      </c>
      <c r="H646" s="8" t="s">
        <v>1795</v>
      </c>
    </row>
    <row r="647" spans="1:8" x14ac:dyDescent="0.3">
      <c r="A647" s="4" t="s">
        <v>2376</v>
      </c>
      <c r="B647" s="5">
        <v>44893</v>
      </c>
      <c r="C647" s="6" t="s">
        <v>52</v>
      </c>
      <c r="D647" s="6" t="s">
        <v>329</v>
      </c>
      <c r="E647" s="6" t="s">
        <v>2503</v>
      </c>
      <c r="F647" s="6" t="s">
        <v>1208</v>
      </c>
      <c r="G647" s="7" t="str">
        <f>HYPERLINK("https://ovidsp.ovid.com/ovidweb.cgi?T=JS&amp;NEWS=n&amp;CSC=Y&amp;PAGE=booktext&amp;D=books&amp;SC=01768410&amp;EPUB=Y","https://ovidsp.ovid.com/ovidweb.cgi?T=JS&amp;NEWS=n&amp;CSC=Y&amp;PAGE=booktext&amp;D=books&amp;SC=01768410&amp;EPUB=Y")</f>
        <v>https://ovidsp.ovid.com/ovidweb.cgi?T=JS&amp;NEWS=n&amp;CSC=Y&amp;PAGE=booktext&amp;D=books&amp;SC=01768410&amp;EPUB=Y</v>
      </c>
      <c r="H647" s="8" t="s">
        <v>1795</v>
      </c>
    </row>
    <row r="648" spans="1:8" x14ac:dyDescent="0.3">
      <c r="A648" s="4" t="s">
        <v>2</v>
      </c>
      <c r="B648" s="5">
        <v>44893</v>
      </c>
      <c r="C648" s="6" t="s">
        <v>2367</v>
      </c>
      <c r="D648" s="6" t="s">
        <v>1643</v>
      </c>
      <c r="E648" s="6" t="s">
        <v>2503</v>
      </c>
      <c r="F648" s="6" t="s">
        <v>1208</v>
      </c>
      <c r="G648" s="7" t="str">
        <f>HYPERLINK("https://ovidsp.ovid.com/ovidweb.cgi?T=JS&amp;NEWS=n&amp;CSC=Y&amp;PAGE=booktext&amp;D=books&amp;SC=01437916&amp;EPUB=Y","https://ovidsp.ovid.com/ovidweb.cgi?T=JS&amp;NEWS=n&amp;CSC=Y&amp;PAGE=booktext&amp;D=books&amp;SC=01437916&amp;EPUB=Y")</f>
        <v>https://ovidsp.ovid.com/ovidweb.cgi?T=JS&amp;NEWS=n&amp;CSC=Y&amp;PAGE=booktext&amp;D=books&amp;SC=01437916&amp;EPUB=Y</v>
      </c>
      <c r="H648" s="8" t="s">
        <v>1795</v>
      </c>
    </row>
    <row r="649" spans="1:8" x14ac:dyDescent="0.3">
      <c r="A649" s="4" t="s">
        <v>1873</v>
      </c>
      <c r="B649" s="5">
        <v>44893</v>
      </c>
      <c r="C649" s="6" t="s">
        <v>2367</v>
      </c>
      <c r="D649" s="6" t="s">
        <v>1643</v>
      </c>
      <c r="E649" s="6" t="s">
        <v>2503</v>
      </c>
      <c r="F649" s="6" t="s">
        <v>241</v>
      </c>
      <c r="G649" s="7" t="str">
        <f>HYPERLINK("https://ovidsp.ovid.com/ovidweb.cgi?T=JS&amp;NEWS=n&amp;CSC=Y&amp;PAGE=booktext&amp;D=books&amp;SC=01434267&amp;EPUB=Y","https://ovidsp.ovid.com/ovidweb.cgi?T=JS&amp;NEWS=n&amp;CSC=Y&amp;PAGE=booktext&amp;D=books&amp;SC=01434267&amp;EPUB=Y")</f>
        <v>https://ovidsp.ovid.com/ovidweb.cgi?T=JS&amp;NEWS=n&amp;CSC=Y&amp;PAGE=booktext&amp;D=books&amp;SC=01434267&amp;EPUB=Y</v>
      </c>
      <c r="H649" s="8" t="s">
        <v>1795</v>
      </c>
    </row>
    <row r="650" spans="1:8" x14ac:dyDescent="0.3">
      <c r="A650" s="4" t="s">
        <v>87</v>
      </c>
      <c r="B650" s="5">
        <v>44893</v>
      </c>
      <c r="C650" s="6" t="s">
        <v>2367</v>
      </c>
      <c r="D650" s="6" t="s">
        <v>1643</v>
      </c>
      <c r="E650" s="6" t="s">
        <v>2503</v>
      </c>
      <c r="F650" s="6" t="s">
        <v>1208</v>
      </c>
      <c r="G650" s="7" t="str">
        <f>HYPERLINK("https://ovidsp.ovid.com/ovidweb.cgi?T=JS&amp;NEWS=n&amp;CSC=Y&amp;PAGE=booktext&amp;D=books&amp;SC=01434490&amp;EPUB=Y","https://ovidsp.ovid.com/ovidweb.cgi?T=JS&amp;NEWS=n&amp;CSC=Y&amp;PAGE=booktext&amp;D=books&amp;SC=01434490&amp;EPUB=Y")</f>
        <v>https://ovidsp.ovid.com/ovidweb.cgi?T=JS&amp;NEWS=n&amp;CSC=Y&amp;PAGE=booktext&amp;D=books&amp;SC=01434490&amp;EPUB=Y</v>
      </c>
      <c r="H650" s="8" t="s">
        <v>1795</v>
      </c>
    </row>
    <row r="651" spans="1:8" x14ac:dyDescent="0.3">
      <c r="A651" s="4" t="s">
        <v>834</v>
      </c>
      <c r="B651" s="5">
        <v>44893</v>
      </c>
      <c r="C651" s="6" t="s">
        <v>1213</v>
      </c>
      <c r="D651" s="6" t="s">
        <v>2141</v>
      </c>
      <c r="E651" s="6" t="s">
        <v>2503</v>
      </c>
      <c r="F651" s="6" t="s">
        <v>1208</v>
      </c>
      <c r="G651" s="7" t="str">
        <f>HYPERLINK("https://ovidsp.ovid.com/ovidweb.cgi?T=JS&amp;NEWS=n&amp;CSC=Y&amp;PAGE=booktext&amp;D=books&amp;SC=01434830&amp;EPUB=Y","https://ovidsp.ovid.com/ovidweb.cgi?T=JS&amp;NEWS=n&amp;CSC=Y&amp;PAGE=booktext&amp;D=books&amp;SC=01434830&amp;EPUB=Y")</f>
        <v>https://ovidsp.ovid.com/ovidweb.cgi?T=JS&amp;NEWS=n&amp;CSC=Y&amp;PAGE=booktext&amp;D=books&amp;SC=01434830&amp;EPUB=Y</v>
      </c>
      <c r="H651" s="8" t="s">
        <v>1795</v>
      </c>
    </row>
    <row r="652" spans="1:8" x14ac:dyDescent="0.3">
      <c r="A652" s="4" t="s">
        <v>8</v>
      </c>
      <c r="B652" s="5">
        <v>44893</v>
      </c>
      <c r="C652" s="6" t="s">
        <v>391</v>
      </c>
      <c r="D652" s="6" t="s">
        <v>1029</v>
      </c>
      <c r="E652" s="6" t="s">
        <v>2503</v>
      </c>
      <c r="F652" s="6" t="s">
        <v>1208</v>
      </c>
      <c r="G652" s="7" t="str">
        <f>HYPERLINK("https://ovidsp.ovid.com/ovidweb.cgi?T=JS&amp;NEWS=n&amp;CSC=Y&amp;PAGE=booktext&amp;D=books&amp;SC=02273491&amp;EPUB=Y","https://ovidsp.ovid.com/ovidweb.cgi?T=JS&amp;NEWS=n&amp;CSC=Y&amp;PAGE=booktext&amp;D=books&amp;SC=02273491&amp;EPUB=Y")</f>
        <v>https://ovidsp.ovid.com/ovidweb.cgi?T=JS&amp;NEWS=n&amp;CSC=Y&amp;PAGE=booktext&amp;D=books&amp;SC=02273491&amp;EPUB=Y</v>
      </c>
      <c r="H652" s="8" t="s">
        <v>1795</v>
      </c>
    </row>
    <row r="653" spans="1:8" x14ac:dyDescent="0.3">
      <c r="A653" s="4" t="s">
        <v>248</v>
      </c>
      <c r="B653" s="5">
        <v>44893</v>
      </c>
      <c r="C653" s="6" t="s">
        <v>2367</v>
      </c>
      <c r="D653" s="6" t="s">
        <v>1643</v>
      </c>
      <c r="E653" s="6" t="s">
        <v>2503</v>
      </c>
      <c r="F653" s="6" t="s">
        <v>1208</v>
      </c>
      <c r="G653" s="7" t="str">
        <f>HYPERLINK("https://ovidsp.ovid.com/ovidweb.cgi?T=JS&amp;NEWS=n&amp;CSC=Y&amp;PAGE=booktext&amp;D=books&amp;SC=01434455&amp;EPUB=Y","https://ovidsp.ovid.com/ovidweb.cgi?T=JS&amp;NEWS=n&amp;CSC=Y&amp;PAGE=booktext&amp;D=books&amp;SC=01434455&amp;EPUB=Y")</f>
        <v>https://ovidsp.ovid.com/ovidweb.cgi?T=JS&amp;NEWS=n&amp;CSC=Y&amp;PAGE=booktext&amp;D=books&amp;SC=01434455&amp;EPUB=Y</v>
      </c>
      <c r="H653" s="8" t="s">
        <v>1795</v>
      </c>
    </row>
    <row r="654" spans="1:8" x14ac:dyDescent="0.3">
      <c r="A654" s="4" t="s">
        <v>1567</v>
      </c>
      <c r="B654" s="5">
        <v>44893</v>
      </c>
      <c r="C654" s="6" t="s">
        <v>2367</v>
      </c>
      <c r="D654" s="6" t="s">
        <v>1643</v>
      </c>
      <c r="E654" s="6" t="s">
        <v>2503</v>
      </c>
      <c r="F654" s="6" t="s">
        <v>1208</v>
      </c>
      <c r="G654" s="7" t="str">
        <f>HYPERLINK("https://ovidsp.ovid.com/ovidweb.cgi?T=JS&amp;NEWS=n&amp;CSC=Y&amp;PAGE=booktext&amp;D=books&amp;SC=01434398&amp;EPUB=Y","https://ovidsp.ovid.com/ovidweb.cgi?T=JS&amp;NEWS=n&amp;CSC=Y&amp;PAGE=booktext&amp;D=books&amp;SC=01434398&amp;EPUB=Y")</f>
        <v>https://ovidsp.ovid.com/ovidweb.cgi?T=JS&amp;NEWS=n&amp;CSC=Y&amp;PAGE=booktext&amp;D=books&amp;SC=01434398&amp;EPUB=Y</v>
      </c>
      <c r="H654" s="8" t="s">
        <v>1795</v>
      </c>
    </row>
    <row r="655" spans="1:8" x14ac:dyDescent="0.3">
      <c r="A655" s="4" t="s">
        <v>1968</v>
      </c>
      <c r="B655" s="5">
        <v>44893</v>
      </c>
      <c r="C655" s="6" t="s">
        <v>2432</v>
      </c>
      <c r="D655" s="6" t="s">
        <v>2507</v>
      </c>
      <c r="E655" s="6" t="s">
        <v>2503</v>
      </c>
      <c r="F655" s="6" t="s">
        <v>1208</v>
      </c>
      <c r="G655" s="7" t="str">
        <f>HYPERLINK("https://ovidsp.ovid.com/ovidweb.cgi?T=JS&amp;NEWS=n&amp;CSC=Y&amp;PAGE=booktext&amp;D=books&amp;SC=01435736&amp;EPUB=Y","https://ovidsp.ovid.com/ovidweb.cgi?T=JS&amp;NEWS=n&amp;CSC=Y&amp;PAGE=booktext&amp;D=books&amp;SC=01435736&amp;EPUB=Y")</f>
        <v>https://ovidsp.ovid.com/ovidweb.cgi?T=JS&amp;NEWS=n&amp;CSC=Y&amp;PAGE=booktext&amp;D=books&amp;SC=01435736&amp;EPUB=Y</v>
      </c>
      <c r="H655" s="8" t="s">
        <v>1795</v>
      </c>
    </row>
    <row r="656" spans="1:8" x14ac:dyDescent="0.3">
      <c r="A656" s="4" t="s">
        <v>2313</v>
      </c>
      <c r="B656" s="5">
        <v>44893</v>
      </c>
      <c r="C656" s="6" t="s">
        <v>1010</v>
      </c>
      <c r="D656" s="6" t="s">
        <v>2199</v>
      </c>
      <c r="E656" s="6" t="s">
        <v>2503</v>
      </c>
      <c r="F656" s="6" t="s">
        <v>1208</v>
      </c>
      <c r="G656" s="7" t="str">
        <f>HYPERLINK("https://ovidsp.ovid.com/ovidweb.cgi?T=JS&amp;NEWS=n&amp;CSC=Y&amp;PAGE=booktext&amp;D=books&amp;SC=02273592&amp;EPUB=Y","https://ovidsp.ovid.com/ovidweb.cgi?T=JS&amp;NEWS=n&amp;CSC=Y&amp;PAGE=booktext&amp;D=books&amp;SC=02273592&amp;EPUB=Y")</f>
        <v>https://ovidsp.ovid.com/ovidweb.cgi?T=JS&amp;NEWS=n&amp;CSC=Y&amp;PAGE=booktext&amp;D=books&amp;SC=02273592&amp;EPUB=Y</v>
      </c>
      <c r="H656" s="8" t="s">
        <v>1795</v>
      </c>
    </row>
    <row r="657" spans="1:8" x14ac:dyDescent="0.3">
      <c r="A657" s="4" t="s">
        <v>380</v>
      </c>
      <c r="B657" s="5">
        <v>44893</v>
      </c>
      <c r="C657" s="6" t="s">
        <v>2367</v>
      </c>
      <c r="D657" s="6" t="s">
        <v>1643</v>
      </c>
      <c r="E657" s="6" t="s">
        <v>2503</v>
      </c>
      <c r="F657" s="6" t="s">
        <v>1208</v>
      </c>
      <c r="G657" s="7" t="str">
        <f>HYPERLINK("https://ovidsp.ovid.com/ovidweb.cgi?T=JS&amp;NEWS=n&amp;CSC=Y&amp;PAGE=booktext&amp;D=books&amp;SC=01434292&amp;EPUB=Y","https://ovidsp.ovid.com/ovidweb.cgi?T=JS&amp;NEWS=n&amp;CSC=Y&amp;PAGE=booktext&amp;D=books&amp;SC=01434292&amp;EPUB=Y")</f>
        <v>https://ovidsp.ovid.com/ovidweb.cgi?T=JS&amp;NEWS=n&amp;CSC=Y&amp;PAGE=booktext&amp;D=books&amp;SC=01434292&amp;EPUB=Y</v>
      </c>
      <c r="H657" s="8" t="s">
        <v>1795</v>
      </c>
    </row>
    <row r="658" spans="1:8" x14ac:dyDescent="0.3">
      <c r="A658" s="4" t="s">
        <v>1484</v>
      </c>
      <c r="B658" s="5">
        <v>44893</v>
      </c>
      <c r="C658" s="6" t="s">
        <v>2367</v>
      </c>
      <c r="D658" s="6" t="s">
        <v>1643</v>
      </c>
      <c r="E658" s="6" t="s">
        <v>2503</v>
      </c>
      <c r="F658" s="6" t="s">
        <v>1208</v>
      </c>
      <c r="G658" s="7" t="str">
        <f>HYPERLINK("https://ovidsp.ovid.com/ovidweb.cgi?T=JS&amp;NEWS=n&amp;CSC=Y&amp;PAGE=booktext&amp;D=books&amp;SC=01434494&amp;EPUB=Y","https://ovidsp.ovid.com/ovidweb.cgi?T=JS&amp;NEWS=n&amp;CSC=Y&amp;PAGE=booktext&amp;D=books&amp;SC=01434494&amp;EPUB=Y")</f>
        <v>https://ovidsp.ovid.com/ovidweb.cgi?T=JS&amp;NEWS=n&amp;CSC=Y&amp;PAGE=booktext&amp;D=books&amp;SC=01434494&amp;EPUB=Y</v>
      </c>
      <c r="H658" s="8" t="s">
        <v>1795</v>
      </c>
    </row>
    <row r="659" spans="1:8" x14ac:dyDescent="0.3">
      <c r="A659" s="4" t="s">
        <v>2295</v>
      </c>
      <c r="B659" s="5">
        <v>44893</v>
      </c>
      <c r="C659" s="6" t="s">
        <v>858</v>
      </c>
      <c r="D659" s="6" t="s">
        <v>2611</v>
      </c>
      <c r="E659" s="6" t="s">
        <v>2503</v>
      </c>
      <c r="F659" s="6" t="s">
        <v>1208</v>
      </c>
      <c r="G659" s="7" t="str">
        <f>HYPERLINK("https://ovidsp.ovid.com/ovidweb.cgi?T=JS&amp;NEWS=n&amp;CSC=Y&amp;PAGE=booktext&amp;D=books&amp;SC=01434480&amp;EPUB=Y","https://ovidsp.ovid.com/ovidweb.cgi?T=JS&amp;NEWS=n&amp;CSC=Y&amp;PAGE=booktext&amp;D=books&amp;SC=01434480&amp;EPUB=Y")</f>
        <v>https://ovidsp.ovid.com/ovidweb.cgi?T=JS&amp;NEWS=n&amp;CSC=Y&amp;PAGE=booktext&amp;D=books&amp;SC=01434480&amp;EPUB=Y</v>
      </c>
      <c r="H659" s="8" t="s">
        <v>1795</v>
      </c>
    </row>
    <row r="660" spans="1:8" x14ac:dyDescent="0.3">
      <c r="A660" s="4" t="s">
        <v>1289</v>
      </c>
      <c r="B660" s="5">
        <v>44893</v>
      </c>
      <c r="C660" s="6" t="s">
        <v>2367</v>
      </c>
      <c r="D660" s="6" t="s">
        <v>1643</v>
      </c>
      <c r="E660" s="6" t="s">
        <v>2503</v>
      </c>
      <c r="F660" s="6" t="s">
        <v>1208</v>
      </c>
      <c r="G660" s="7" t="str">
        <f>HYPERLINK("https://ovidsp.ovid.com/ovidweb.cgi?T=JS&amp;NEWS=n&amp;CSC=Y&amp;PAGE=booktext&amp;D=books&amp;SC=01434375&amp;EPUB=Y","https://ovidsp.ovid.com/ovidweb.cgi?T=JS&amp;NEWS=n&amp;CSC=Y&amp;PAGE=booktext&amp;D=books&amp;SC=01434375&amp;EPUB=Y")</f>
        <v>https://ovidsp.ovid.com/ovidweb.cgi?T=JS&amp;NEWS=n&amp;CSC=Y&amp;PAGE=booktext&amp;D=books&amp;SC=01434375&amp;EPUB=Y</v>
      </c>
      <c r="H660" s="8" t="s">
        <v>1795</v>
      </c>
    </row>
    <row r="661" spans="1:8" x14ac:dyDescent="0.3">
      <c r="A661" s="4" t="s">
        <v>657</v>
      </c>
      <c r="B661" s="5">
        <v>44893</v>
      </c>
      <c r="C661" s="6" t="s">
        <v>2367</v>
      </c>
      <c r="D661" s="6" t="s">
        <v>1643</v>
      </c>
      <c r="E661" s="6" t="s">
        <v>2503</v>
      </c>
      <c r="F661" s="6" t="s">
        <v>241</v>
      </c>
      <c r="G661" s="7" t="str">
        <f>HYPERLINK("https://ovidsp.ovid.com/ovidweb.cgi?T=JS&amp;NEWS=n&amp;CSC=Y&amp;PAGE=booktext&amp;D=books&amp;SC=01434304&amp;EPUB=Y","https://ovidsp.ovid.com/ovidweb.cgi?T=JS&amp;NEWS=n&amp;CSC=Y&amp;PAGE=booktext&amp;D=books&amp;SC=01434304&amp;EPUB=Y")</f>
        <v>https://ovidsp.ovid.com/ovidweb.cgi?T=JS&amp;NEWS=n&amp;CSC=Y&amp;PAGE=booktext&amp;D=books&amp;SC=01434304&amp;EPUB=Y</v>
      </c>
      <c r="H661" s="8" t="s">
        <v>1795</v>
      </c>
    </row>
    <row r="662" spans="1:8" x14ac:dyDescent="0.3">
      <c r="A662" s="4" t="s">
        <v>1223</v>
      </c>
      <c r="B662" s="5">
        <v>44893</v>
      </c>
      <c r="C662" s="6" t="s">
        <v>950</v>
      </c>
      <c r="D662" s="6" t="s">
        <v>1536</v>
      </c>
      <c r="E662" s="6" t="s">
        <v>2503</v>
      </c>
      <c r="F662" s="6" t="s">
        <v>241</v>
      </c>
      <c r="G662" s="7" t="str">
        <f>HYPERLINK("https://ovidsp.ovid.com/ovidweb.cgi?T=JS&amp;NEWS=n&amp;CSC=Y&amp;PAGE=booktext&amp;D=books&amp;SC=01436953&amp;EPUB=Y","https://ovidsp.ovid.com/ovidweb.cgi?T=JS&amp;NEWS=n&amp;CSC=Y&amp;PAGE=booktext&amp;D=books&amp;SC=01436953&amp;EPUB=Y")</f>
        <v>https://ovidsp.ovid.com/ovidweb.cgi?T=JS&amp;NEWS=n&amp;CSC=Y&amp;PAGE=booktext&amp;D=books&amp;SC=01436953&amp;EPUB=Y</v>
      </c>
      <c r="H662" s="8" t="s">
        <v>1795</v>
      </c>
    </row>
    <row r="663" spans="1:8" x14ac:dyDescent="0.3">
      <c r="A663" s="4" t="s">
        <v>835</v>
      </c>
      <c r="B663" s="5">
        <v>44893</v>
      </c>
      <c r="C663" s="6" t="s">
        <v>2385</v>
      </c>
      <c r="D663" s="6" t="s">
        <v>39</v>
      </c>
      <c r="E663" s="6" t="s">
        <v>2503</v>
      </c>
      <c r="F663" s="6" t="s">
        <v>1208</v>
      </c>
      <c r="G663" s="7" t="str">
        <f>HYPERLINK("https://ovidsp.ovid.com/ovidweb.cgi?T=JS&amp;NEWS=n&amp;CSC=Y&amp;PAGE=booktext&amp;D=books&amp;SC=01434593&amp;EPUB=Y","https://ovidsp.ovid.com/ovidweb.cgi?T=JS&amp;NEWS=n&amp;CSC=Y&amp;PAGE=booktext&amp;D=books&amp;SC=01434593&amp;EPUB=Y")</f>
        <v>https://ovidsp.ovid.com/ovidweb.cgi?T=JS&amp;NEWS=n&amp;CSC=Y&amp;PAGE=booktext&amp;D=books&amp;SC=01434593&amp;EPUB=Y</v>
      </c>
      <c r="H663" s="8" t="s">
        <v>1795</v>
      </c>
    </row>
    <row r="664" spans="1:8" x14ac:dyDescent="0.3">
      <c r="A664" s="4" t="s">
        <v>1290</v>
      </c>
      <c r="B664" s="5">
        <v>44893</v>
      </c>
      <c r="C664" s="6" t="s">
        <v>2578</v>
      </c>
      <c r="D664" s="6" t="s">
        <v>251</v>
      </c>
      <c r="E664" s="6" t="s">
        <v>2503</v>
      </c>
      <c r="F664" s="6" t="s">
        <v>1208</v>
      </c>
      <c r="G664" s="7" t="str">
        <f>HYPERLINK("https://ovidsp.ovid.com/ovidweb.cgi?T=JS&amp;NEWS=n&amp;CSC=Y&amp;PAGE=booktext&amp;D=books&amp;SC=01437917&amp;EPUB=Y","https://ovidsp.ovid.com/ovidweb.cgi?T=JS&amp;NEWS=n&amp;CSC=Y&amp;PAGE=booktext&amp;D=books&amp;SC=01437917&amp;EPUB=Y")</f>
        <v>https://ovidsp.ovid.com/ovidweb.cgi?T=JS&amp;NEWS=n&amp;CSC=Y&amp;PAGE=booktext&amp;D=books&amp;SC=01437917&amp;EPUB=Y</v>
      </c>
      <c r="H664" s="8" t="s">
        <v>1795</v>
      </c>
    </row>
    <row r="665" spans="1:8" x14ac:dyDescent="0.3">
      <c r="A665" s="4" t="s">
        <v>1832</v>
      </c>
      <c r="B665" s="5">
        <v>44893</v>
      </c>
      <c r="C665" s="6" t="s">
        <v>59</v>
      </c>
      <c r="D665" s="6" t="s">
        <v>2363</v>
      </c>
      <c r="E665" s="6" t="s">
        <v>2503</v>
      </c>
      <c r="F665" s="6" t="s">
        <v>1208</v>
      </c>
      <c r="G665" s="7" t="str">
        <f>HYPERLINK("https://ovidsp.ovid.com/ovidweb.cgi?T=JS&amp;NEWS=n&amp;CSC=Y&amp;PAGE=booktext&amp;D=books&amp;SC=02158089&amp;EPUB=Y","https://ovidsp.ovid.com/ovidweb.cgi?T=JS&amp;NEWS=n&amp;CSC=Y&amp;PAGE=booktext&amp;D=books&amp;SC=02158089&amp;EPUB=Y")</f>
        <v>https://ovidsp.ovid.com/ovidweb.cgi?T=JS&amp;NEWS=n&amp;CSC=Y&amp;PAGE=booktext&amp;D=books&amp;SC=02158089&amp;EPUB=Y</v>
      </c>
      <c r="H665" s="8" t="s">
        <v>1795</v>
      </c>
    </row>
    <row r="666" spans="1:8" x14ac:dyDescent="0.3">
      <c r="A666" s="4" t="s">
        <v>2066</v>
      </c>
      <c r="B666" s="5">
        <v>44893</v>
      </c>
      <c r="C666" s="6" t="s">
        <v>529</v>
      </c>
      <c r="D666" s="6" t="s">
        <v>1269</v>
      </c>
      <c r="E666" s="6" t="s">
        <v>2503</v>
      </c>
      <c r="F666" s="6" t="s">
        <v>1208</v>
      </c>
      <c r="G666" s="7" t="str">
        <f>HYPERLINK("https://ovidsp.ovid.com/ovidweb.cgi?T=JS&amp;NEWS=n&amp;CSC=Y&amp;PAGE=booktext&amp;D=books&amp;SC=02102019&amp;EPUB=Y","https://ovidsp.ovid.com/ovidweb.cgi?T=JS&amp;NEWS=n&amp;CSC=Y&amp;PAGE=booktext&amp;D=books&amp;SC=02102019&amp;EPUB=Y")</f>
        <v>https://ovidsp.ovid.com/ovidweb.cgi?T=JS&amp;NEWS=n&amp;CSC=Y&amp;PAGE=booktext&amp;D=books&amp;SC=02102019&amp;EPUB=Y</v>
      </c>
      <c r="H666" s="8" t="s">
        <v>1795</v>
      </c>
    </row>
    <row r="667" spans="1:8" x14ac:dyDescent="0.3">
      <c r="A667" s="4" t="s">
        <v>1983</v>
      </c>
      <c r="B667" s="5">
        <v>44893</v>
      </c>
      <c r="C667" s="6" t="s">
        <v>180</v>
      </c>
      <c r="D667" s="6" t="s">
        <v>2426</v>
      </c>
      <c r="E667" s="6" t="s">
        <v>2503</v>
      </c>
      <c r="F667" s="6" t="s">
        <v>1208</v>
      </c>
      <c r="G667" s="7" t="str">
        <f>HYPERLINK("https://ovidsp.ovid.com/ovidweb.cgi?T=JS&amp;NEWS=n&amp;CSC=Y&amp;PAGE=booktext&amp;D=books&amp;SC=01787378&amp;EPUB=Y","https://ovidsp.ovid.com/ovidweb.cgi?T=JS&amp;NEWS=n&amp;CSC=Y&amp;PAGE=booktext&amp;D=books&amp;SC=01787378&amp;EPUB=Y")</f>
        <v>https://ovidsp.ovid.com/ovidweb.cgi?T=JS&amp;NEWS=n&amp;CSC=Y&amp;PAGE=booktext&amp;D=books&amp;SC=01787378&amp;EPUB=Y</v>
      </c>
      <c r="H667" s="8" t="s">
        <v>1795</v>
      </c>
    </row>
    <row r="668" spans="1:8" x14ac:dyDescent="0.3">
      <c r="A668" s="4" t="s">
        <v>2587</v>
      </c>
      <c r="B668" s="5">
        <v>44893</v>
      </c>
      <c r="C668" s="6" t="s">
        <v>1855</v>
      </c>
      <c r="D668" s="6" t="s">
        <v>2285</v>
      </c>
      <c r="E668" s="6" t="s">
        <v>2503</v>
      </c>
      <c r="F668" s="6" t="s">
        <v>1208</v>
      </c>
      <c r="G668" s="7" t="str">
        <f>HYPERLINK("https://ovidsp.ovid.com/ovidweb.cgi?T=JS&amp;NEWS=n&amp;CSC=Y&amp;PAGE=booktext&amp;D=books&amp;SC=01434559&amp;EPUB=Y","https://ovidsp.ovid.com/ovidweb.cgi?T=JS&amp;NEWS=n&amp;CSC=Y&amp;PAGE=booktext&amp;D=books&amp;SC=01434559&amp;EPUB=Y")</f>
        <v>https://ovidsp.ovid.com/ovidweb.cgi?T=JS&amp;NEWS=n&amp;CSC=Y&amp;PAGE=booktext&amp;D=books&amp;SC=01434559&amp;EPUB=Y</v>
      </c>
      <c r="H668" s="8" t="s">
        <v>1795</v>
      </c>
    </row>
    <row r="669" spans="1:8" x14ac:dyDescent="0.3">
      <c r="A669" s="4" t="s">
        <v>1681</v>
      </c>
      <c r="B669" s="5">
        <v>44893</v>
      </c>
      <c r="C669" s="6" t="s">
        <v>2367</v>
      </c>
      <c r="D669" s="6" t="s">
        <v>1643</v>
      </c>
      <c r="E669" s="6" t="s">
        <v>2503</v>
      </c>
      <c r="F669" s="6" t="s">
        <v>1208</v>
      </c>
      <c r="G669" s="7" t="str">
        <f>HYPERLINK("https://ovidsp.ovid.com/ovidweb.cgi?T=JS&amp;NEWS=n&amp;CSC=Y&amp;PAGE=booktext&amp;D=books&amp;SC=01434270&amp;EPUB=Y","https://ovidsp.ovid.com/ovidweb.cgi?T=JS&amp;NEWS=n&amp;CSC=Y&amp;PAGE=booktext&amp;D=books&amp;SC=01434270&amp;EPUB=Y")</f>
        <v>https://ovidsp.ovid.com/ovidweb.cgi?T=JS&amp;NEWS=n&amp;CSC=Y&amp;PAGE=booktext&amp;D=books&amp;SC=01434270&amp;EPUB=Y</v>
      </c>
      <c r="H669" s="8" t="s">
        <v>1795</v>
      </c>
    </row>
    <row r="670" spans="1:8" x14ac:dyDescent="0.3">
      <c r="A670" s="4" t="s">
        <v>324</v>
      </c>
      <c r="B670" s="5">
        <v>44893</v>
      </c>
      <c r="C670" s="6" t="s">
        <v>2367</v>
      </c>
      <c r="D670" s="6" t="s">
        <v>1643</v>
      </c>
      <c r="E670" s="6" t="s">
        <v>2503</v>
      </c>
      <c r="F670" s="6" t="s">
        <v>1208</v>
      </c>
      <c r="G670" s="7" t="str">
        <f>HYPERLINK("https://ovidsp.ovid.com/ovidweb.cgi?T=JS&amp;NEWS=n&amp;CSC=Y&amp;PAGE=booktext&amp;D=books&amp;SC=01434298&amp;EPUB=Y","https://ovidsp.ovid.com/ovidweb.cgi?T=JS&amp;NEWS=n&amp;CSC=Y&amp;PAGE=booktext&amp;D=books&amp;SC=01434298&amp;EPUB=Y")</f>
        <v>https://ovidsp.ovid.com/ovidweb.cgi?T=JS&amp;NEWS=n&amp;CSC=Y&amp;PAGE=booktext&amp;D=books&amp;SC=01434298&amp;EPUB=Y</v>
      </c>
      <c r="H670" s="8" t="s">
        <v>1795</v>
      </c>
    </row>
    <row r="671" spans="1:8" x14ac:dyDescent="0.3">
      <c r="A671" s="4" t="s">
        <v>1051</v>
      </c>
      <c r="B671" s="5">
        <v>44893</v>
      </c>
      <c r="C671" s="6" t="s">
        <v>2367</v>
      </c>
      <c r="D671" s="6" t="s">
        <v>1643</v>
      </c>
      <c r="E671" s="6" t="s">
        <v>2503</v>
      </c>
      <c r="F671" s="6" t="s">
        <v>1208</v>
      </c>
      <c r="G671" s="7" t="str">
        <f>HYPERLINK("https://ovidsp.ovid.com/ovidweb.cgi?T=JS&amp;NEWS=n&amp;CSC=Y&amp;PAGE=booktext&amp;D=books&amp;SC=01434344&amp;EPUB=Y","https://ovidsp.ovid.com/ovidweb.cgi?T=JS&amp;NEWS=n&amp;CSC=Y&amp;PAGE=booktext&amp;D=books&amp;SC=01434344&amp;EPUB=Y")</f>
        <v>https://ovidsp.ovid.com/ovidweb.cgi?T=JS&amp;NEWS=n&amp;CSC=Y&amp;PAGE=booktext&amp;D=books&amp;SC=01434344&amp;EPUB=Y</v>
      </c>
      <c r="H671" s="8" t="s">
        <v>1795</v>
      </c>
    </row>
    <row r="672" spans="1:8" x14ac:dyDescent="0.3">
      <c r="A672" s="4" t="s">
        <v>150</v>
      </c>
      <c r="B672" s="5">
        <v>44893</v>
      </c>
      <c r="C672" s="6" t="s">
        <v>687</v>
      </c>
      <c r="D672" s="6" t="s">
        <v>772</v>
      </c>
      <c r="E672" s="6" t="s">
        <v>2503</v>
      </c>
      <c r="F672" s="6" t="s">
        <v>1208</v>
      </c>
      <c r="G672" s="7" t="str">
        <f>HYPERLINK("https://ovidsp.ovid.com/ovidweb.cgi?T=JS&amp;NEWS=n&amp;CSC=Y&amp;PAGE=booktext&amp;D=books&amp;SC=01434564&amp;EPUB=Y","https://ovidsp.ovid.com/ovidweb.cgi?T=JS&amp;NEWS=n&amp;CSC=Y&amp;PAGE=booktext&amp;D=books&amp;SC=01434564&amp;EPUB=Y")</f>
        <v>https://ovidsp.ovid.com/ovidweb.cgi?T=JS&amp;NEWS=n&amp;CSC=Y&amp;PAGE=booktext&amp;D=books&amp;SC=01434564&amp;EPUB=Y</v>
      </c>
      <c r="H672" s="8" t="s">
        <v>1795</v>
      </c>
    </row>
    <row r="673" spans="1:8" x14ac:dyDescent="0.3">
      <c r="A673" s="4" t="s">
        <v>2339</v>
      </c>
      <c r="B673" s="5">
        <v>44893</v>
      </c>
      <c r="C673" s="6" t="s">
        <v>143</v>
      </c>
      <c r="D673" s="6" t="s">
        <v>2129</v>
      </c>
      <c r="E673" s="6" t="s">
        <v>2503</v>
      </c>
      <c r="F673" s="6" t="s">
        <v>1208</v>
      </c>
      <c r="G673" s="7" t="str">
        <f>HYPERLINK("https://ovidsp.ovid.com/ovidweb.cgi?T=JS&amp;NEWS=n&amp;CSC=Y&amp;PAGE=booktext&amp;D=books&amp;SC=01787207&amp;EPUB=Y","https://ovidsp.ovid.com/ovidweb.cgi?T=JS&amp;NEWS=n&amp;CSC=Y&amp;PAGE=booktext&amp;D=books&amp;SC=01787207&amp;EPUB=Y")</f>
        <v>https://ovidsp.ovid.com/ovidweb.cgi?T=JS&amp;NEWS=n&amp;CSC=Y&amp;PAGE=booktext&amp;D=books&amp;SC=01787207&amp;EPUB=Y</v>
      </c>
      <c r="H673" s="8" t="s">
        <v>1795</v>
      </c>
    </row>
    <row r="674" spans="1:8" x14ac:dyDescent="0.3">
      <c r="A674" s="4" t="s">
        <v>2339</v>
      </c>
      <c r="B674" s="5">
        <v>44893</v>
      </c>
      <c r="C674" s="6" t="s">
        <v>2287</v>
      </c>
      <c r="D674" s="6" t="s">
        <v>2606</v>
      </c>
      <c r="E674" s="6" t="s">
        <v>2503</v>
      </c>
      <c r="F674" s="6" t="s">
        <v>241</v>
      </c>
      <c r="G674" s="7" t="str">
        <f>HYPERLINK("https://ovidsp.ovid.com/ovidweb.cgi?T=JS&amp;NEWS=n&amp;CSC=Y&amp;PAGE=booktext&amp;D=books&amp;SC=02272481&amp;EPUB=Y","https://ovidsp.ovid.com/ovidweb.cgi?T=JS&amp;NEWS=n&amp;CSC=Y&amp;PAGE=booktext&amp;D=books&amp;SC=02272481&amp;EPUB=Y")</f>
        <v>https://ovidsp.ovid.com/ovidweb.cgi?T=JS&amp;NEWS=n&amp;CSC=Y&amp;PAGE=booktext&amp;D=books&amp;SC=02272481&amp;EPUB=Y</v>
      </c>
      <c r="H674" s="8" t="s">
        <v>1795</v>
      </c>
    </row>
    <row r="675" spans="1:8" x14ac:dyDescent="0.3">
      <c r="A675" s="4" t="s">
        <v>576</v>
      </c>
      <c r="B675" s="5">
        <v>44893</v>
      </c>
      <c r="C675" s="6" t="s">
        <v>1371</v>
      </c>
      <c r="D675" s="6" t="s">
        <v>1250</v>
      </c>
      <c r="E675" s="6" t="s">
        <v>2503</v>
      </c>
      <c r="F675" s="6" t="s">
        <v>241</v>
      </c>
      <c r="G675" s="7" t="str">
        <f>HYPERLINK("https://ovidsp.ovid.com/ovidweb.cgi?T=JS&amp;NEWS=n&amp;CSC=Y&amp;PAGE=booktext&amp;D=books&amp;SC=02250020&amp;EPUB=Y","https://ovidsp.ovid.com/ovidweb.cgi?T=JS&amp;NEWS=n&amp;CSC=Y&amp;PAGE=booktext&amp;D=books&amp;SC=02250020&amp;EPUB=Y")</f>
        <v>https://ovidsp.ovid.com/ovidweb.cgi?T=JS&amp;NEWS=n&amp;CSC=Y&amp;PAGE=booktext&amp;D=books&amp;SC=02250020&amp;EPUB=Y</v>
      </c>
      <c r="H675" s="8" t="s">
        <v>1795</v>
      </c>
    </row>
    <row r="676" spans="1:8" x14ac:dyDescent="0.3">
      <c r="A676" s="4" t="s">
        <v>576</v>
      </c>
      <c r="B676" s="5">
        <v>44893</v>
      </c>
      <c r="C676" s="6" t="s">
        <v>417</v>
      </c>
      <c r="D676" s="6" t="s">
        <v>2312</v>
      </c>
      <c r="E676" s="6" t="s">
        <v>2503</v>
      </c>
      <c r="F676" s="6" t="s">
        <v>1208</v>
      </c>
      <c r="G676" s="7" t="str">
        <f>HYPERLINK("https://ovidsp.ovid.com/ovidweb.cgi?T=JS&amp;NEWS=n&amp;CSC=Y&amp;PAGE=booktext&amp;D=books&amp;SC=01515474&amp;EPUB=Y","https://ovidsp.ovid.com/ovidweb.cgi?T=JS&amp;NEWS=n&amp;CSC=Y&amp;PAGE=booktext&amp;D=books&amp;SC=01515474&amp;EPUB=Y")</f>
        <v>https://ovidsp.ovid.com/ovidweb.cgi?T=JS&amp;NEWS=n&amp;CSC=Y&amp;PAGE=booktext&amp;D=books&amp;SC=01515474&amp;EPUB=Y</v>
      </c>
      <c r="H676" s="8" t="s">
        <v>1795</v>
      </c>
    </row>
    <row r="677" spans="1:8" x14ac:dyDescent="0.3">
      <c r="A677" s="4" t="s">
        <v>1281</v>
      </c>
      <c r="B677" s="5">
        <v>44893</v>
      </c>
      <c r="C677" s="6" t="s">
        <v>1047</v>
      </c>
      <c r="D677" s="6" t="s">
        <v>1737</v>
      </c>
      <c r="E677" s="6" t="s">
        <v>2503</v>
      </c>
      <c r="F677" s="6" t="s">
        <v>241</v>
      </c>
      <c r="G677" s="7" t="str">
        <f>HYPERLINK("https://ovidsp.ovid.com/ovidweb.cgi?T=JS&amp;NEWS=n&amp;CSC=Y&amp;PAGE=booktext&amp;D=books&amp;SC=02070796&amp;EPUB=Y","https://ovidsp.ovid.com/ovidweb.cgi?T=JS&amp;NEWS=n&amp;CSC=Y&amp;PAGE=booktext&amp;D=books&amp;SC=02070796&amp;EPUB=Y")</f>
        <v>https://ovidsp.ovid.com/ovidweb.cgi?T=JS&amp;NEWS=n&amp;CSC=Y&amp;PAGE=booktext&amp;D=books&amp;SC=02070796&amp;EPUB=Y</v>
      </c>
      <c r="H677" s="8" t="s">
        <v>1795</v>
      </c>
    </row>
    <row r="678" spans="1:8" x14ac:dyDescent="0.3">
      <c r="A678" s="4" t="s">
        <v>2371</v>
      </c>
      <c r="B678" s="5">
        <v>44893</v>
      </c>
      <c r="C678" s="6" t="s">
        <v>172</v>
      </c>
      <c r="D678" s="6" t="s">
        <v>461</v>
      </c>
      <c r="E678" s="6" t="s">
        <v>2503</v>
      </c>
      <c r="F678" s="6" t="s">
        <v>241</v>
      </c>
      <c r="G678" s="7" t="str">
        <f>HYPERLINK("https://ovidsp.ovid.com/ovidweb.cgi?T=JS&amp;NEWS=n&amp;CSC=Y&amp;PAGE=booktext&amp;D=books&amp;SC=02102013&amp;EPUB=Y","https://ovidsp.ovid.com/ovidweb.cgi?T=JS&amp;NEWS=n&amp;CSC=Y&amp;PAGE=booktext&amp;D=books&amp;SC=02102013&amp;EPUB=Y")</f>
        <v>https://ovidsp.ovid.com/ovidweb.cgi?T=JS&amp;NEWS=n&amp;CSC=Y&amp;PAGE=booktext&amp;D=books&amp;SC=02102013&amp;EPUB=Y</v>
      </c>
      <c r="H678" s="8" t="s">
        <v>1795</v>
      </c>
    </row>
    <row r="679" spans="1:8" x14ac:dyDescent="0.3">
      <c r="A679" s="4" t="s">
        <v>2371</v>
      </c>
      <c r="B679" s="5">
        <v>44893</v>
      </c>
      <c r="C679" s="6" t="s">
        <v>2457</v>
      </c>
      <c r="D679" s="6" t="s">
        <v>1631</v>
      </c>
      <c r="E679" s="6" t="s">
        <v>2503</v>
      </c>
      <c r="F679" s="6" t="s">
        <v>1208</v>
      </c>
      <c r="G679" s="7" t="str">
        <f>HYPERLINK("https://ovidsp.ovid.com/ovidweb.cgi?T=JS&amp;NEWS=n&amp;CSC=Y&amp;PAGE=booktext&amp;D=books&amp;SC=01434625&amp;EPUB=Y","https://ovidsp.ovid.com/ovidweb.cgi?T=JS&amp;NEWS=n&amp;CSC=Y&amp;PAGE=booktext&amp;D=books&amp;SC=01434625&amp;EPUB=Y")</f>
        <v>https://ovidsp.ovid.com/ovidweb.cgi?T=JS&amp;NEWS=n&amp;CSC=Y&amp;PAGE=booktext&amp;D=books&amp;SC=01434625&amp;EPUB=Y</v>
      </c>
      <c r="H679" s="8" t="s">
        <v>1795</v>
      </c>
    </row>
    <row r="680" spans="1:8" x14ac:dyDescent="0.3">
      <c r="A680" s="4" t="s">
        <v>1083</v>
      </c>
      <c r="B680" s="5">
        <v>44893</v>
      </c>
      <c r="C680" s="6" t="s">
        <v>2367</v>
      </c>
      <c r="D680" s="6" t="s">
        <v>1643</v>
      </c>
      <c r="E680" s="6" t="s">
        <v>2503</v>
      </c>
      <c r="F680" s="6" t="s">
        <v>1208</v>
      </c>
      <c r="G680" s="7" t="str">
        <f>HYPERLINK("https://ovidsp.ovid.com/ovidweb.cgi?T=JS&amp;NEWS=n&amp;CSC=Y&amp;PAGE=booktext&amp;D=books&amp;SC=01434382&amp;EPUB=Y","https://ovidsp.ovid.com/ovidweb.cgi?T=JS&amp;NEWS=n&amp;CSC=Y&amp;PAGE=booktext&amp;D=books&amp;SC=01434382&amp;EPUB=Y")</f>
        <v>https://ovidsp.ovid.com/ovidweb.cgi?T=JS&amp;NEWS=n&amp;CSC=Y&amp;PAGE=booktext&amp;D=books&amp;SC=01434382&amp;EPUB=Y</v>
      </c>
      <c r="H680" s="8" t="s">
        <v>1795</v>
      </c>
    </row>
    <row r="681" spans="1:8" x14ac:dyDescent="0.3">
      <c r="A681" s="4" t="s">
        <v>522</v>
      </c>
      <c r="B681" s="5">
        <v>44893</v>
      </c>
      <c r="C681" s="6" t="s">
        <v>2300</v>
      </c>
      <c r="D681" s="6" t="s">
        <v>588</v>
      </c>
      <c r="E681" s="6" t="s">
        <v>2503</v>
      </c>
      <c r="F681" s="6" t="s">
        <v>1208</v>
      </c>
      <c r="G681" s="7" t="str">
        <f>HYPERLINK("https://ovidsp.ovid.com/ovidweb.cgi?T=JS&amp;NEWS=n&amp;CSC=Y&amp;PAGE=booktext&amp;D=books&amp;SC=01720298&amp;EPUB=Y","https://ovidsp.ovid.com/ovidweb.cgi?T=JS&amp;NEWS=n&amp;CSC=Y&amp;PAGE=booktext&amp;D=books&amp;SC=01720298&amp;EPUB=Y")</f>
        <v>https://ovidsp.ovid.com/ovidweb.cgi?T=JS&amp;NEWS=n&amp;CSC=Y&amp;PAGE=booktext&amp;D=books&amp;SC=01720298&amp;EPUB=Y</v>
      </c>
      <c r="H681" s="8" t="s">
        <v>1795</v>
      </c>
    </row>
    <row r="682" spans="1:8" x14ac:dyDescent="0.3">
      <c r="A682" s="4" t="s">
        <v>669</v>
      </c>
      <c r="B682" s="5">
        <v>44893</v>
      </c>
      <c r="C682" s="6" t="s">
        <v>775</v>
      </c>
      <c r="D682" s="6" t="s">
        <v>1662</v>
      </c>
      <c r="E682" s="6" t="s">
        <v>2503</v>
      </c>
      <c r="F682" s="6" t="s">
        <v>1208</v>
      </c>
      <c r="G682" s="7" t="str">
        <f>HYPERLINK("https://ovidsp.ovid.com/ovidweb.cgi?T=JS&amp;NEWS=n&amp;CSC=Y&amp;PAGE=booktext&amp;D=books&amp;SC=01974524&amp;EPUB=Y","https://ovidsp.ovid.com/ovidweb.cgi?T=JS&amp;NEWS=n&amp;CSC=Y&amp;PAGE=booktext&amp;D=books&amp;SC=01974524&amp;EPUB=Y")</f>
        <v>https://ovidsp.ovid.com/ovidweb.cgi?T=JS&amp;NEWS=n&amp;CSC=Y&amp;PAGE=booktext&amp;D=books&amp;SC=01974524&amp;EPUB=Y</v>
      </c>
      <c r="H682" s="8" t="s">
        <v>1795</v>
      </c>
    </row>
    <row r="683" spans="1:8" x14ac:dyDescent="0.3">
      <c r="A683" s="4" t="s">
        <v>641</v>
      </c>
      <c r="B683" s="5">
        <v>44893</v>
      </c>
      <c r="C683" s="6" t="s">
        <v>1921</v>
      </c>
      <c r="D683" s="6" t="s">
        <v>1686</v>
      </c>
      <c r="E683" s="6" t="s">
        <v>2503</v>
      </c>
      <c r="F683" s="6" t="s">
        <v>241</v>
      </c>
      <c r="G683" s="7" t="str">
        <f>HYPERLINK("https://ovidsp.ovid.com/ovidweb.cgi?T=JS&amp;NEWS=n&amp;CSC=Y&amp;PAGE=booktext&amp;D=books&amp;SC=01437479&amp;EPUB=Y","https://ovidsp.ovid.com/ovidweb.cgi?T=JS&amp;NEWS=n&amp;CSC=Y&amp;PAGE=booktext&amp;D=books&amp;SC=01437479&amp;EPUB=Y")</f>
        <v>https://ovidsp.ovid.com/ovidweb.cgi?T=JS&amp;NEWS=n&amp;CSC=Y&amp;PAGE=booktext&amp;D=books&amp;SC=01437479&amp;EPUB=Y</v>
      </c>
      <c r="H683" s="8" t="s">
        <v>1795</v>
      </c>
    </row>
    <row r="684" spans="1:8" x14ac:dyDescent="0.3">
      <c r="A684" s="4" t="s">
        <v>641</v>
      </c>
      <c r="B684" s="5">
        <v>44893</v>
      </c>
      <c r="C684" s="6" t="s">
        <v>995</v>
      </c>
      <c r="D684" s="6" t="s">
        <v>212</v>
      </c>
      <c r="E684" s="6" t="s">
        <v>2503</v>
      </c>
      <c r="F684" s="6" t="s">
        <v>619</v>
      </c>
      <c r="G684" s="7" t="str">
        <f>HYPERLINK("https://ovidsp.ovid.com/ovidweb.cgi?T=JS&amp;NEWS=n&amp;CSC=Y&amp;PAGE=booktext&amp;D=books&amp;SC=02186218&amp;EPUB=Y","https://ovidsp.ovid.com/ovidweb.cgi?T=JS&amp;NEWS=n&amp;CSC=Y&amp;PAGE=booktext&amp;D=books&amp;SC=02186218&amp;EPUB=Y")</f>
        <v>https://ovidsp.ovid.com/ovidweb.cgi?T=JS&amp;NEWS=n&amp;CSC=Y&amp;PAGE=booktext&amp;D=books&amp;SC=02186218&amp;EPUB=Y</v>
      </c>
      <c r="H684" s="8" t="s">
        <v>1795</v>
      </c>
    </row>
    <row r="685" spans="1:8" x14ac:dyDescent="0.3">
      <c r="A685" s="4" t="s">
        <v>1865</v>
      </c>
      <c r="B685" s="5">
        <v>44893</v>
      </c>
      <c r="C685" s="6" t="s">
        <v>422</v>
      </c>
      <c r="D685" s="6" t="s">
        <v>1900</v>
      </c>
      <c r="E685" s="6" t="s">
        <v>2503</v>
      </c>
      <c r="F685" s="6" t="s">
        <v>1208</v>
      </c>
      <c r="G685" s="7" t="str">
        <f>HYPERLINK("https://ovidsp.ovid.com/ovidweb.cgi?T=JS&amp;NEWS=n&amp;CSC=Y&amp;PAGE=booktext&amp;D=books&amp;SC=01437815&amp;EPUB=Y","https://ovidsp.ovid.com/ovidweb.cgi?T=JS&amp;NEWS=n&amp;CSC=Y&amp;PAGE=booktext&amp;D=books&amp;SC=01437815&amp;EPUB=Y")</f>
        <v>https://ovidsp.ovid.com/ovidweb.cgi?T=JS&amp;NEWS=n&amp;CSC=Y&amp;PAGE=booktext&amp;D=books&amp;SC=01437815&amp;EPUB=Y</v>
      </c>
      <c r="H685" s="8" t="s">
        <v>1795</v>
      </c>
    </row>
    <row r="686" spans="1:8" x14ac:dyDescent="0.3">
      <c r="A686" s="4" t="s">
        <v>1684</v>
      </c>
      <c r="B686" s="5">
        <v>44893</v>
      </c>
      <c r="C686" s="6" t="s">
        <v>1087</v>
      </c>
      <c r="D686" s="6" t="s">
        <v>2419</v>
      </c>
      <c r="E686" s="6" t="s">
        <v>2503</v>
      </c>
      <c r="F686" s="6" t="s">
        <v>1208</v>
      </c>
      <c r="G686" s="7" t="str">
        <f>HYPERLINK("https://ovidsp.ovid.com/ovidweb.cgi?T=JS&amp;NEWS=n&amp;CSC=Y&amp;PAGE=booktext&amp;D=books&amp;SC=01845234&amp;EPUB=Y","https://ovidsp.ovid.com/ovidweb.cgi?T=JS&amp;NEWS=n&amp;CSC=Y&amp;PAGE=booktext&amp;D=books&amp;SC=01845234&amp;EPUB=Y")</f>
        <v>https://ovidsp.ovid.com/ovidweb.cgi?T=JS&amp;NEWS=n&amp;CSC=Y&amp;PAGE=booktext&amp;D=books&amp;SC=01845234&amp;EPUB=Y</v>
      </c>
      <c r="H686" s="8" t="s">
        <v>1795</v>
      </c>
    </row>
    <row r="687" spans="1:8" x14ac:dyDescent="0.3">
      <c r="A687" s="4" t="s">
        <v>512</v>
      </c>
      <c r="B687" s="5">
        <v>44893</v>
      </c>
      <c r="C687" s="6" t="s">
        <v>730</v>
      </c>
      <c r="D687" s="6" t="s">
        <v>2514</v>
      </c>
      <c r="E687" s="6" t="s">
        <v>2503</v>
      </c>
      <c r="F687" s="6" t="s">
        <v>1208</v>
      </c>
      <c r="G687" s="7" t="str">
        <f>HYPERLINK("https://ovidsp.ovid.com/ovidweb.cgi?T=JS&amp;NEWS=n&amp;CSC=Y&amp;PAGE=booktext&amp;D=books&amp;SC=01434555&amp;EPUB=Y","https://ovidsp.ovid.com/ovidweb.cgi?T=JS&amp;NEWS=n&amp;CSC=Y&amp;PAGE=booktext&amp;D=books&amp;SC=01434555&amp;EPUB=Y")</f>
        <v>https://ovidsp.ovid.com/ovidweb.cgi?T=JS&amp;NEWS=n&amp;CSC=Y&amp;PAGE=booktext&amp;D=books&amp;SC=01434555&amp;EPUB=Y</v>
      </c>
      <c r="H687" s="8" t="s">
        <v>1795</v>
      </c>
    </row>
    <row r="688" spans="1:8" x14ac:dyDescent="0.3">
      <c r="A688" s="4" t="s">
        <v>1200</v>
      </c>
      <c r="B688" s="5">
        <v>44893</v>
      </c>
      <c r="C688" s="6" t="s">
        <v>1305</v>
      </c>
      <c r="D688" s="6" t="s">
        <v>2589</v>
      </c>
      <c r="E688" s="6" t="s">
        <v>2503</v>
      </c>
      <c r="F688" s="6" t="s">
        <v>1208</v>
      </c>
      <c r="G688" s="7" t="str">
        <f>HYPERLINK("https://ovidsp.ovid.com/ovidweb.cgi?T=JS&amp;NEWS=n&amp;CSC=Y&amp;PAGE=booktext&amp;D=books&amp;SC=02029597&amp;EPUB=Y","https://ovidsp.ovid.com/ovidweb.cgi?T=JS&amp;NEWS=n&amp;CSC=Y&amp;PAGE=booktext&amp;D=books&amp;SC=02029597&amp;EPUB=Y")</f>
        <v>https://ovidsp.ovid.com/ovidweb.cgi?T=JS&amp;NEWS=n&amp;CSC=Y&amp;PAGE=booktext&amp;D=books&amp;SC=02029597&amp;EPUB=Y</v>
      </c>
      <c r="H688" s="8" t="s">
        <v>1795</v>
      </c>
    </row>
    <row r="689" spans="1:8" x14ac:dyDescent="0.3">
      <c r="A689" s="4" t="s">
        <v>1303</v>
      </c>
      <c r="B689" s="5">
        <v>44893</v>
      </c>
      <c r="C689" s="6" t="s">
        <v>1594</v>
      </c>
      <c r="D689" s="6" t="s">
        <v>23</v>
      </c>
      <c r="E689" s="6" t="s">
        <v>2503</v>
      </c>
      <c r="F689" s="6" t="s">
        <v>1208</v>
      </c>
      <c r="G689" s="7" t="str">
        <f>HYPERLINK("https://ovidsp.ovid.com/ovidweb.cgi?T=JS&amp;NEWS=n&amp;CSC=Y&amp;PAGE=booktext&amp;D=books&amp;SC=01434537&amp;EPUB=Y","https://ovidsp.ovid.com/ovidweb.cgi?T=JS&amp;NEWS=n&amp;CSC=Y&amp;PAGE=booktext&amp;D=books&amp;SC=01434537&amp;EPUB=Y")</f>
        <v>https://ovidsp.ovid.com/ovidweb.cgi?T=JS&amp;NEWS=n&amp;CSC=Y&amp;PAGE=booktext&amp;D=books&amp;SC=01434537&amp;EPUB=Y</v>
      </c>
      <c r="H689" s="8" t="s">
        <v>1795</v>
      </c>
    </row>
    <row r="690" spans="1:8" x14ac:dyDescent="0.3">
      <c r="A690" s="4" t="s">
        <v>1987</v>
      </c>
      <c r="B690" s="5">
        <v>44893</v>
      </c>
      <c r="C690" s="6" t="s">
        <v>1562</v>
      </c>
      <c r="D690" s="6" t="s">
        <v>1660</v>
      </c>
      <c r="E690" s="6" t="s">
        <v>2503</v>
      </c>
      <c r="F690" s="6" t="s">
        <v>1208</v>
      </c>
      <c r="G690" s="7" t="str">
        <f>HYPERLINK("https://ovidsp.ovid.com/ovidweb.cgi?T=JS&amp;NEWS=n&amp;CSC=Y&amp;PAGE=booktext&amp;D=books&amp;SC=01434835&amp;EPUB=Y","https://ovidsp.ovid.com/ovidweb.cgi?T=JS&amp;NEWS=n&amp;CSC=Y&amp;PAGE=booktext&amp;D=books&amp;SC=01434835&amp;EPUB=Y")</f>
        <v>https://ovidsp.ovid.com/ovidweb.cgi?T=JS&amp;NEWS=n&amp;CSC=Y&amp;PAGE=booktext&amp;D=books&amp;SC=01434835&amp;EPUB=Y</v>
      </c>
      <c r="H690" s="8" t="s">
        <v>1795</v>
      </c>
    </row>
    <row r="691" spans="1:8" x14ac:dyDescent="0.3">
      <c r="A691" s="4" t="s">
        <v>806</v>
      </c>
      <c r="B691" s="5">
        <v>44893</v>
      </c>
      <c r="C691" s="6" t="s">
        <v>1586</v>
      </c>
      <c r="D691" s="6" t="s">
        <v>513</v>
      </c>
      <c r="E691" s="6" t="s">
        <v>2503</v>
      </c>
      <c r="F691" s="6" t="s">
        <v>241</v>
      </c>
      <c r="G691" s="7" t="str">
        <f>HYPERLINK("https://ovidsp.ovid.com/ovidweb.cgi?T=JS&amp;NEWS=n&amp;CSC=Y&amp;PAGE=booktext&amp;D=books&amp;SC=01436934&amp;EPUB=Y","https://ovidsp.ovid.com/ovidweb.cgi?T=JS&amp;NEWS=n&amp;CSC=Y&amp;PAGE=booktext&amp;D=books&amp;SC=01436934&amp;EPUB=Y")</f>
        <v>https://ovidsp.ovid.com/ovidweb.cgi?T=JS&amp;NEWS=n&amp;CSC=Y&amp;PAGE=booktext&amp;D=books&amp;SC=01436934&amp;EPUB=Y</v>
      </c>
      <c r="H691" s="8" t="s">
        <v>1795</v>
      </c>
    </row>
    <row r="692" spans="1:8" x14ac:dyDescent="0.3">
      <c r="A692" s="4" t="s">
        <v>222</v>
      </c>
      <c r="B692" s="5">
        <v>44893</v>
      </c>
      <c r="C692" s="6" t="s">
        <v>356</v>
      </c>
      <c r="D692" s="6" t="s">
        <v>1394</v>
      </c>
      <c r="E692" s="6" t="s">
        <v>2503</v>
      </c>
      <c r="F692" s="6" t="s">
        <v>1208</v>
      </c>
      <c r="G692" s="7" t="str">
        <f>HYPERLINK("https://ovidsp.ovid.com/ovidweb.cgi?T=JS&amp;NEWS=n&amp;CSC=Y&amp;PAGE=booktext&amp;D=books&amp;SC=01861731&amp;EPUB=Y","https://ovidsp.ovid.com/ovidweb.cgi?T=JS&amp;NEWS=n&amp;CSC=Y&amp;PAGE=booktext&amp;D=books&amp;SC=01861731&amp;EPUB=Y")</f>
        <v>https://ovidsp.ovid.com/ovidweb.cgi?T=JS&amp;NEWS=n&amp;CSC=Y&amp;PAGE=booktext&amp;D=books&amp;SC=01861731&amp;EPUB=Y</v>
      </c>
      <c r="H692" s="8" t="s">
        <v>1795</v>
      </c>
    </row>
    <row r="693" spans="1:8" x14ac:dyDescent="0.3">
      <c r="A693" s="4" t="s">
        <v>222</v>
      </c>
      <c r="B693" s="5">
        <v>44893</v>
      </c>
      <c r="C693" s="6" t="s">
        <v>1566</v>
      </c>
      <c r="D693" s="6" t="s">
        <v>2581</v>
      </c>
      <c r="E693" s="6" t="s">
        <v>2503</v>
      </c>
      <c r="F693" s="6" t="s">
        <v>241</v>
      </c>
      <c r="G693" s="7" t="str">
        <f>HYPERLINK("https://ovidsp.ovid.com/ovidweb.cgi?T=JS&amp;NEWS=n&amp;CSC=Y&amp;PAGE=booktext&amp;D=books&amp;SC=02211316&amp;EPUB=Y","https://ovidsp.ovid.com/ovidweb.cgi?T=JS&amp;NEWS=n&amp;CSC=Y&amp;PAGE=booktext&amp;D=books&amp;SC=02211316&amp;EPUB=Y")</f>
        <v>https://ovidsp.ovid.com/ovidweb.cgi?T=JS&amp;NEWS=n&amp;CSC=Y&amp;PAGE=booktext&amp;D=books&amp;SC=02211316&amp;EPUB=Y</v>
      </c>
      <c r="H693" s="8" t="s">
        <v>1795</v>
      </c>
    </row>
    <row r="694" spans="1:8" x14ac:dyDescent="0.3">
      <c r="A694" s="4" t="s">
        <v>741</v>
      </c>
      <c r="B694" s="5">
        <v>44893</v>
      </c>
      <c r="C694" s="6" t="s">
        <v>152</v>
      </c>
      <c r="D694" s="6" t="s">
        <v>2314</v>
      </c>
      <c r="E694" s="6" t="s">
        <v>2503</v>
      </c>
      <c r="F694" s="6" t="s">
        <v>1208</v>
      </c>
      <c r="G694" s="7" t="str">
        <f>HYPERLINK("https://ovidsp.ovid.com/ovidweb.cgi?T=JS&amp;NEWS=n&amp;CSC=Y&amp;PAGE=booktext&amp;D=books&amp;SC=02091937&amp;EPUB=Y","https://ovidsp.ovid.com/ovidweb.cgi?T=JS&amp;NEWS=n&amp;CSC=Y&amp;PAGE=booktext&amp;D=books&amp;SC=02091937&amp;EPUB=Y")</f>
        <v>https://ovidsp.ovid.com/ovidweb.cgi?T=JS&amp;NEWS=n&amp;CSC=Y&amp;PAGE=booktext&amp;D=books&amp;SC=02091937&amp;EPUB=Y</v>
      </c>
      <c r="H694" s="8" t="s">
        <v>1795</v>
      </c>
    </row>
    <row r="695" spans="1:8" x14ac:dyDescent="0.3">
      <c r="A695" s="4" t="s">
        <v>392</v>
      </c>
      <c r="B695" s="5">
        <v>44893</v>
      </c>
      <c r="C695" s="6" t="s">
        <v>168</v>
      </c>
      <c r="D695" s="6" t="s">
        <v>1448</v>
      </c>
      <c r="E695" s="6" t="s">
        <v>2503</v>
      </c>
      <c r="F695" s="6" t="s">
        <v>241</v>
      </c>
      <c r="G695" s="7" t="str">
        <f>HYPERLINK("https://ovidsp.ovid.com/ovidweb.cgi?T=JS&amp;NEWS=n&amp;CSC=Y&amp;PAGE=booktext&amp;D=books&amp;SC=01434838&amp;EPUB=Y","https://ovidsp.ovid.com/ovidweb.cgi?T=JS&amp;NEWS=n&amp;CSC=Y&amp;PAGE=booktext&amp;D=books&amp;SC=01434838&amp;EPUB=Y")</f>
        <v>https://ovidsp.ovid.com/ovidweb.cgi?T=JS&amp;NEWS=n&amp;CSC=Y&amp;PAGE=booktext&amp;D=books&amp;SC=01434838&amp;EPUB=Y</v>
      </c>
      <c r="H695" s="8" t="s">
        <v>1795</v>
      </c>
    </row>
    <row r="696" spans="1:8" x14ac:dyDescent="0.3">
      <c r="A696" s="4" t="s">
        <v>437</v>
      </c>
      <c r="B696" s="5">
        <v>44893</v>
      </c>
      <c r="C696" s="6" t="s">
        <v>2054</v>
      </c>
      <c r="D696" s="6" t="s">
        <v>2608</v>
      </c>
      <c r="E696" s="6" t="s">
        <v>2503</v>
      </c>
      <c r="F696" s="6" t="s">
        <v>1208</v>
      </c>
      <c r="G696" s="7" t="str">
        <f>HYPERLINK("https://ovidsp.ovid.com/ovidweb.cgi?T=JS&amp;NEWS=n&amp;CSC=Y&amp;PAGE=booktext&amp;D=books&amp;SC=02200530&amp;EPUB=Y","https://ovidsp.ovid.com/ovidweb.cgi?T=JS&amp;NEWS=n&amp;CSC=Y&amp;PAGE=booktext&amp;D=books&amp;SC=02200530&amp;EPUB=Y")</f>
        <v>https://ovidsp.ovid.com/ovidweb.cgi?T=JS&amp;NEWS=n&amp;CSC=Y&amp;PAGE=booktext&amp;D=books&amp;SC=02200530&amp;EPUB=Y</v>
      </c>
      <c r="H696" s="8" t="s">
        <v>1795</v>
      </c>
    </row>
    <row r="697" spans="1:8" x14ac:dyDescent="0.3">
      <c r="A697" s="4" t="s">
        <v>124</v>
      </c>
      <c r="B697" s="5">
        <v>44893</v>
      </c>
      <c r="C697" s="6" t="s">
        <v>1382</v>
      </c>
      <c r="D697" s="6" t="s">
        <v>1207</v>
      </c>
      <c r="E697" s="6" t="s">
        <v>2503</v>
      </c>
      <c r="F697" s="6" t="s">
        <v>1208</v>
      </c>
      <c r="G697" s="7" t="str">
        <f>HYPERLINK("https://ovidsp.ovid.com/ovidweb.cgi?T=JS&amp;NEWS=n&amp;CSC=Y&amp;PAGE=booktext&amp;D=books&amp;SC=01434594&amp;EPUB=Y","https://ovidsp.ovid.com/ovidweb.cgi?T=JS&amp;NEWS=n&amp;CSC=Y&amp;PAGE=booktext&amp;D=books&amp;SC=01434594&amp;EPUB=Y")</f>
        <v>https://ovidsp.ovid.com/ovidweb.cgi?T=JS&amp;NEWS=n&amp;CSC=Y&amp;PAGE=booktext&amp;D=books&amp;SC=01434594&amp;EPUB=Y</v>
      </c>
      <c r="H697" s="8" t="s">
        <v>1795</v>
      </c>
    </row>
    <row r="698" spans="1:8" x14ac:dyDescent="0.3">
      <c r="A698" s="4" t="s">
        <v>1910</v>
      </c>
      <c r="B698" s="5">
        <v>44893</v>
      </c>
      <c r="C698" s="6" t="s">
        <v>2367</v>
      </c>
      <c r="D698" s="6" t="s">
        <v>1643</v>
      </c>
      <c r="E698" s="6" t="s">
        <v>2503</v>
      </c>
      <c r="F698" s="6" t="s">
        <v>1208</v>
      </c>
      <c r="G698" s="7" t="str">
        <f>HYPERLINK("https://ovidsp.ovid.com/ovidweb.cgi?T=JS&amp;NEWS=n&amp;CSC=Y&amp;PAGE=booktext&amp;D=books&amp;SC=01434345&amp;EPUB=Y","https://ovidsp.ovid.com/ovidweb.cgi?T=JS&amp;NEWS=n&amp;CSC=Y&amp;PAGE=booktext&amp;D=books&amp;SC=01434345&amp;EPUB=Y")</f>
        <v>https://ovidsp.ovid.com/ovidweb.cgi?T=JS&amp;NEWS=n&amp;CSC=Y&amp;PAGE=booktext&amp;D=books&amp;SC=01434345&amp;EPUB=Y</v>
      </c>
      <c r="H698" s="8" t="s">
        <v>1795</v>
      </c>
    </row>
    <row r="699" spans="1:8" x14ac:dyDescent="0.3">
      <c r="A699" s="4" t="s">
        <v>446</v>
      </c>
      <c r="B699" s="5">
        <v>44893</v>
      </c>
      <c r="C699" s="6" t="s">
        <v>2367</v>
      </c>
      <c r="D699" s="6" t="s">
        <v>1643</v>
      </c>
      <c r="E699" s="6" t="s">
        <v>2503</v>
      </c>
      <c r="F699" s="6" t="s">
        <v>1208</v>
      </c>
      <c r="G699" s="7" t="str">
        <f>HYPERLINK("https://ovidsp.ovid.com/ovidweb.cgi?T=JS&amp;NEWS=n&amp;CSC=Y&amp;PAGE=booktext&amp;D=books&amp;SC=01434485&amp;EPUB=Y","https://ovidsp.ovid.com/ovidweb.cgi?T=JS&amp;NEWS=n&amp;CSC=Y&amp;PAGE=booktext&amp;D=books&amp;SC=01434485&amp;EPUB=Y")</f>
        <v>https://ovidsp.ovid.com/ovidweb.cgi?T=JS&amp;NEWS=n&amp;CSC=Y&amp;PAGE=booktext&amp;D=books&amp;SC=01434485&amp;EPUB=Y</v>
      </c>
      <c r="H699" s="8" t="s">
        <v>1795</v>
      </c>
    </row>
    <row r="700" spans="1:8" x14ac:dyDescent="0.3">
      <c r="A700" s="4" t="s">
        <v>1666</v>
      </c>
      <c r="B700" s="5">
        <v>44893</v>
      </c>
      <c r="C700" s="6" t="s">
        <v>812</v>
      </c>
      <c r="D700" s="6" t="s">
        <v>882</v>
      </c>
      <c r="E700" s="6" t="s">
        <v>2503</v>
      </c>
      <c r="F700" s="6" t="s">
        <v>1208</v>
      </c>
      <c r="G700" s="7" t="str">
        <f>HYPERLINK("https://ovidsp.ovid.com/ovidweb.cgi?T=JS&amp;NEWS=n&amp;CSC=Y&amp;PAGE=booktext&amp;D=books&amp;SC=02158083&amp;EPUB=Y","https://ovidsp.ovid.com/ovidweb.cgi?T=JS&amp;NEWS=n&amp;CSC=Y&amp;PAGE=booktext&amp;D=books&amp;SC=02158083&amp;EPUB=Y")</f>
        <v>https://ovidsp.ovid.com/ovidweb.cgi?T=JS&amp;NEWS=n&amp;CSC=Y&amp;PAGE=booktext&amp;D=books&amp;SC=02158083&amp;EPUB=Y</v>
      </c>
      <c r="H700" s="8" t="s">
        <v>1795</v>
      </c>
    </row>
    <row r="701" spans="1:8" x14ac:dyDescent="0.3">
      <c r="A701" s="4" t="s">
        <v>1716</v>
      </c>
      <c r="B701" s="5">
        <v>44893</v>
      </c>
      <c r="C701" s="6" t="s">
        <v>213</v>
      </c>
      <c r="D701" s="6" t="s">
        <v>2265</v>
      </c>
      <c r="E701" s="6" t="s">
        <v>2503</v>
      </c>
      <c r="F701" s="6" t="s">
        <v>241</v>
      </c>
      <c r="G701" s="7" t="str">
        <f>HYPERLINK("https://ovidsp.ovid.com/ovidweb.cgi?T=JS&amp;NEWS=n&amp;CSC=Y&amp;PAGE=booktext&amp;D=books&amp;SC=01933620&amp;EPUB=Y","https://ovidsp.ovid.com/ovidweb.cgi?T=JS&amp;NEWS=n&amp;CSC=Y&amp;PAGE=booktext&amp;D=books&amp;SC=01933620&amp;EPUB=Y")</f>
        <v>https://ovidsp.ovid.com/ovidweb.cgi?T=JS&amp;NEWS=n&amp;CSC=Y&amp;PAGE=booktext&amp;D=books&amp;SC=01933620&amp;EPUB=Y</v>
      </c>
      <c r="H701" s="8" t="s">
        <v>1795</v>
      </c>
    </row>
    <row r="702" spans="1:8" x14ac:dyDescent="0.3">
      <c r="A702" s="4" t="s">
        <v>400</v>
      </c>
      <c r="B702" s="5">
        <v>44893</v>
      </c>
      <c r="C702" s="6" t="s">
        <v>1826</v>
      </c>
      <c r="D702" s="6" t="s">
        <v>782</v>
      </c>
      <c r="E702" s="6" t="s">
        <v>2503</v>
      </c>
      <c r="F702" s="6" t="s">
        <v>1208</v>
      </c>
      <c r="G702" s="7" t="str">
        <f>HYPERLINK("https://ovidsp.ovid.com/ovidweb.cgi?T=JS&amp;NEWS=n&amp;CSC=Y&amp;PAGE=booktext&amp;D=books&amp;SC=02060387&amp;EPUB=Y","https://ovidsp.ovid.com/ovidweb.cgi?T=JS&amp;NEWS=n&amp;CSC=Y&amp;PAGE=booktext&amp;D=books&amp;SC=02060387&amp;EPUB=Y")</f>
        <v>https://ovidsp.ovid.com/ovidweb.cgi?T=JS&amp;NEWS=n&amp;CSC=Y&amp;PAGE=booktext&amp;D=books&amp;SC=02060387&amp;EPUB=Y</v>
      </c>
      <c r="H702" s="8" t="s">
        <v>1795</v>
      </c>
    </row>
    <row r="703" spans="1:8" x14ac:dyDescent="0.3">
      <c r="A703" s="4" t="s">
        <v>2599</v>
      </c>
      <c r="B703" s="5">
        <v>44893</v>
      </c>
      <c r="C703" s="6" t="s">
        <v>1579</v>
      </c>
      <c r="D703" s="6" t="s">
        <v>1212</v>
      </c>
      <c r="E703" s="6" t="s">
        <v>2503</v>
      </c>
      <c r="F703" s="6" t="s">
        <v>1208</v>
      </c>
      <c r="G703" s="7" t="str">
        <f>HYPERLINK("https://ovidsp.ovid.com/ovidweb.cgi?T=JS&amp;NEWS=n&amp;CSC=Y&amp;PAGE=booktext&amp;D=books&amp;SC=02227863&amp;EPUB=Y","https://ovidsp.ovid.com/ovidweb.cgi?T=JS&amp;NEWS=n&amp;CSC=Y&amp;PAGE=booktext&amp;D=books&amp;SC=02227863&amp;EPUB=Y")</f>
        <v>https://ovidsp.ovid.com/ovidweb.cgi?T=JS&amp;NEWS=n&amp;CSC=Y&amp;PAGE=booktext&amp;D=books&amp;SC=02227863&amp;EPUB=Y</v>
      </c>
      <c r="H703" s="8" t="s">
        <v>1795</v>
      </c>
    </row>
    <row r="704" spans="1:8" x14ac:dyDescent="0.3">
      <c r="A704" s="4" t="s">
        <v>96</v>
      </c>
      <c r="B704" s="5">
        <v>44893</v>
      </c>
      <c r="C704" s="6" t="s">
        <v>2292</v>
      </c>
      <c r="D704" s="6" t="s">
        <v>1547</v>
      </c>
      <c r="E704" s="6" t="s">
        <v>2503</v>
      </c>
      <c r="F704" s="6" t="s">
        <v>1208</v>
      </c>
      <c r="G704" s="7" t="str">
        <f>HYPERLINK("https://ovidsp.ovid.com/ovidweb.cgi?T=JS&amp;NEWS=n&amp;CSC=Y&amp;PAGE=booktext&amp;D=books&amp;SC=01434543&amp;EPUB=Y","https://ovidsp.ovid.com/ovidweb.cgi?T=JS&amp;NEWS=n&amp;CSC=Y&amp;PAGE=booktext&amp;D=books&amp;SC=01434543&amp;EPUB=Y")</f>
        <v>https://ovidsp.ovid.com/ovidweb.cgi?T=JS&amp;NEWS=n&amp;CSC=Y&amp;PAGE=booktext&amp;D=books&amp;SC=01434543&amp;EPUB=Y</v>
      </c>
      <c r="H704" s="8" t="s">
        <v>1795</v>
      </c>
    </row>
    <row r="705" spans="1:8" x14ac:dyDescent="0.3">
      <c r="A705" s="4" t="s">
        <v>1108</v>
      </c>
      <c r="B705" s="5">
        <v>44893</v>
      </c>
      <c r="C705" s="6" t="s">
        <v>2367</v>
      </c>
      <c r="D705" s="6" t="s">
        <v>1643</v>
      </c>
      <c r="E705" s="6" t="s">
        <v>2503</v>
      </c>
      <c r="F705" s="6" t="s">
        <v>1208</v>
      </c>
      <c r="G705" s="7" t="str">
        <f>HYPERLINK("https://ovidsp.ovid.com/ovidweb.cgi?T=JS&amp;NEWS=n&amp;CSC=Y&amp;PAGE=booktext&amp;D=books&amp;SC=01434308&amp;EPUB=Y","https://ovidsp.ovid.com/ovidweb.cgi?T=JS&amp;NEWS=n&amp;CSC=Y&amp;PAGE=booktext&amp;D=books&amp;SC=01434308&amp;EPUB=Y")</f>
        <v>https://ovidsp.ovid.com/ovidweb.cgi?T=JS&amp;NEWS=n&amp;CSC=Y&amp;PAGE=booktext&amp;D=books&amp;SC=01434308&amp;EPUB=Y</v>
      </c>
      <c r="H705" s="8" t="s">
        <v>1795</v>
      </c>
    </row>
    <row r="706" spans="1:8" x14ac:dyDescent="0.3">
      <c r="A706" s="4" t="s">
        <v>1108</v>
      </c>
      <c r="B706" s="5">
        <v>44893</v>
      </c>
      <c r="C706" s="6" t="s">
        <v>1958</v>
      </c>
      <c r="D706" s="6" t="s">
        <v>1374</v>
      </c>
      <c r="E706" s="6" t="s">
        <v>2503</v>
      </c>
      <c r="F706" s="6" t="s">
        <v>241</v>
      </c>
      <c r="G706" s="7" t="str">
        <f>HYPERLINK("https://ovidsp.ovid.com/ovidweb.cgi?T=JS&amp;NEWS=n&amp;CSC=Y&amp;PAGE=booktext&amp;D=books&amp;SC=01768412&amp;EPUB=Y","https://ovidsp.ovid.com/ovidweb.cgi?T=JS&amp;NEWS=n&amp;CSC=Y&amp;PAGE=booktext&amp;D=books&amp;SC=01768412&amp;EPUB=Y")</f>
        <v>https://ovidsp.ovid.com/ovidweb.cgi?T=JS&amp;NEWS=n&amp;CSC=Y&amp;PAGE=booktext&amp;D=books&amp;SC=01768412&amp;EPUB=Y</v>
      </c>
      <c r="H706" s="8" t="s">
        <v>1795</v>
      </c>
    </row>
    <row r="707" spans="1:8" x14ac:dyDescent="0.3">
      <c r="A707" s="4" t="s">
        <v>286</v>
      </c>
      <c r="B707" s="5">
        <v>44893</v>
      </c>
      <c r="C707" s="6" t="s">
        <v>934</v>
      </c>
      <c r="D707" s="6" t="s">
        <v>2574</v>
      </c>
      <c r="E707" s="6" t="s">
        <v>2503</v>
      </c>
      <c r="F707" s="6" t="s">
        <v>241</v>
      </c>
      <c r="G707" s="7" t="str">
        <f>HYPERLINK("https://ovidsp.ovid.com/ovidweb.cgi?T=JS&amp;NEWS=n&amp;CSC=Y&amp;PAGE=booktext&amp;D=books&amp;SC=02233673&amp;EPUB=Y","https://ovidsp.ovid.com/ovidweb.cgi?T=JS&amp;NEWS=n&amp;CSC=Y&amp;PAGE=booktext&amp;D=books&amp;SC=02233673&amp;EPUB=Y")</f>
        <v>https://ovidsp.ovid.com/ovidweb.cgi?T=JS&amp;NEWS=n&amp;CSC=Y&amp;PAGE=booktext&amp;D=books&amp;SC=02233673&amp;EPUB=Y</v>
      </c>
      <c r="H707" s="8" t="s">
        <v>1795</v>
      </c>
    </row>
    <row r="708" spans="1:8" x14ac:dyDescent="0.3">
      <c r="A708" s="4" t="s">
        <v>286</v>
      </c>
      <c r="B708" s="5">
        <v>44893</v>
      </c>
      <c r="C708" s="6" t="s">
        <v>132</v>
      </c>
      <c r="D708" s="6" t="s">
        <v>765</v>
      </c>
      <c r="E708" s="6" t="s">
        <v>2503</v>
      </c>
      <c r="F708" s="6" t="s">
        <v>1208</v>
      </c>
      <c r="G708" s="7" t="str">
        <f>HYPERLINK("https://ovidsp.ovid.com/ovidweb.cgi?T=JS&amp;NEWS=n&amp;CSC=Y&amp;PAGE=booktext&amp;D=books&amp;SC=01436841&amp;EPUB=Y","https://ovidsp.ovid.com/ovidweb.cgi?T=JS&amp;NEWS=n&amp;CSC=Y&amp;PAGE=booktext&amp;D=books&amp;SC=01436841&amp;EPUB=Y")</f>
        <v>https://ovidsp.ovid.com/ovidweb.cgi?T=JS&amp;NEWS=n&amp;CSC=Y&amp;PAGE=booktext&amp;D=books&amp;SC=01436841&amp;EPUB=Y</v>
      </c>
      <c r="H708" s="8" t="s">
        <v>1795</v>
      </c>
    </row>
    <row r="709" spans="1:8" x14ac:dyDescent="0.3">
      <c r="A709" s="4" t="s">
        <v>541</v>
      </c>
      <c r="B709" s="5">
        <v>44893</v>
      </c>
      <c r="C709" s="6" t="s">
        <v>1316</v>
      </c>
      <c r="D709" s="6" t="s">
        <v>2038</v>
      </c>
      <c r="E709" s="6" t="s">
        <v>2503</v>
      </c>
      <c r="F709" s="6" t="s">
        <v>1208</v>
      </c>
      <c r="G709" s="7" t="str">
        <f>HYPERLINK("https://ovidsp.ovid.com/ovidweb.cgi?T=JS&amp;NEWS=n&amp;CSC=Y&amp;PAGE=booktext&amp;D=books&amp;SC=02118287&amp;EPUB=Y","https://ovidsp.ovid.com/ovidweb.cgi?T=JS&amp;NEWS=n&amp;CSC=Y&amp;PAGE=booktext&amp;D=books&amp;SC=02118287&amp;EPUB=Y")</f>
        <v>https://ovidsp.ovid.com/ovidweb.cgi?T=JS&amp;NEWS=n&amp;CSC=Y&amp;PAGE=booktext&amp;D=books&amp;SC=02118287&amp;EPUB=Y</v>
      </c>
      <c r="H709" s="8" t="s">
        <v>1795</v>
      </c>
    </row>
    <row r="710" spans="1:8" x14ac:dyDescent="0.3">
      <c r="A710" s="4" t="s">
        <v>1329</v>
      </c>
      <c r="B710" s="5">
        <v>44893</v>
      </c>
      <c r="C710" s="6" t="s">
        <v>1173</v>
      </c>
      <c r="D710" s="6" t="s">
        <v>2218</v>
      </c>
      <c r="E710" s="6" t="s">
        <v>2503</v>
      </c>
      <c r="F710" s="6" t="s">
        <v>1208</v>
      </c>
      <c r="G710" s="7" t="str">
        <f>HYPERLINK("https://ovidsp.ovid.com/ovidweb.cgi?T=JS&amp;NEWS=n&amp;CSC=Y&amp;PAGE=booktext&amp;D=books&amp;SC=01434636&amp;EPUB=Y","https://ovidsp.ovid.com/ovidweb.cgi?T=JS&amp;NEWS=n&amp;CSC=Y&amp;PAGE=booktext&amp;D=books&amp;SC=01434636&amp;EPUB=Y")</f>
        <v>https://ovidsp.ovid.com/ovidweb.cgi?T=JS&amp;NEWS=n&amp;CSC=Y&amp;PAGE=booktext&amp;D=books&amp;SC=01434636&amp;EPUB=Y</v>
      </c>
      <c r="H710" s="8" t="s">
        <v>1795</v>
      </c>
    </row>
    <row r="711" spans="1:8" x14ac:dyDescent="0.3">
      <c r="A711" s="4" t="s">
        <v>1979</v>
      </c>
      <c r="B711" s="5">
        <v>44893</v>
      </c>
      <c r="C711" s="6" t="s">
        <v>1234</v>
      </c>
      <c r="D711" s="6" t="s">
        <v>2209</v>
      </c>
      <c r="E711" s="6" t="s">
        <v>2503</v>
      </c>
      <c r="F711" s="6" t="s">
        <v>1208</v>
      </c>
      <c r="G711" s="7" t="str">
        <f>HYPERLINK("https://ovidsp.ovid.com/ovidweb.cgi?T=JS&amp;NEWS=n&amp;CSC=Y&amp;PAGE=booktext&amp;D=books&amp;SC=02029612&amp;EPUB=Y","https://ovidsp.ovid.com/ovidweb.cgi?T=JS&amp;NEWS=n&amp;CSC=Y&amp;PAGE=booktext&amp;D=books&amp;SC=02029612&amp;EPUB=Y")</f>
        <v>https://ovidsp.ovid.com/ovidweb.cgi?T=JS&amp;NEWS=n&amp;CSC=Y&amp;PAGE=booktext&amp;D=books&amp;SC=02029612&amp;EPUB=Y</v>
      </c>
      <c r="H711" s="8" t="s">
        <v>1795</v>
      </c>
    </row>
    <row r="712" spans="1:8" x14ac:dyDescent="0.3">
      <c r="A712" s="4" t="s">
        <v>1100</v>
      </c>
      <c r="B712" s="5">
        <v>44893</v>
      </c>
      <c r="C712" s="6" t="s">
        <v>1488</v>
      </c>
      <c r="D712" s="6" t="s">
        <v>2023</v>
      </c>
      <c r="E712" s="6" t="s">
        <v>2503</v>
      </c>
      <c r="F712" s="6" t="s">
        <v>1208</v>
      </c>
      <c r="G712" s="7" t="str">
        <f>HYPERLINK("https://ovidsp.ovid.com/ovidweb.cgi?T=JS&amp;NEWS=n&amp;CSC=Y&amp;PAGE=booktext&amp;D=books&amp;SC=02273239&amp;EPUB=Y","https://ovidsp.ovid.com/ovidweb.cgi?T=JS&amp;NEWS=n&amp;CSC=Y&amp;PAGE=booktext&amp;D=books&amp;SC=02273239&amp;EPUB=Y")</f>
        <v>https://ovidsp.ovid.com/ovidweb.cgi?T=JS&amp;NEWS=n&amp;CSC=Y&amp;PAGE=booktext&amp;D=books&amp;SC=02273239&amp;EPUB=Y</v>
      </c>
      <c r="H712" s="8" t="s">
        <v>1795</v>
      </c>
    </row>
    <row r="713" spans="1:8" x14ac:dyDescent="0.3">
      <c r="A713" s="4" t="s">
        <v>1059</v>
      </c>
      <c r="B713" s="5">
        <v>44893</v>
      </c>
      <c r="C713" s="6" t="s">
        <v>484</v>
      </c>
      <c r="D713" s="6" t="s">
        <v>1276</v>
      </c>
      <c r="E713" s="6" t="s">
        <v>2503</v>
      </c>
      <c r="F713" s="6" t="s">
        <v>1208</v>
      </c>
      <c r="G713" s="7" t="str">
        <f>HYPERLINK("https://ovidsp.ovid.com/ovidweb.cgi?T=JS&amp;NEWS=n&amp;CSC=Y&amp;PAGE=booktext&amp;D=books&amp;SC=01434829&amp;EPUB=Y","https://ovidsp.ovid.com/ovidweb.cgi?T=JS&amp;NEWS=n&amp;CSC=Y&amp;PAGE=booktext&amp;D=books&amp;SC=01434829&amp;EPUB=Y")</f>
        <v>https://ovidsp.ovid.com/ovidweb.cgi?T=JS&amp;NEWS=n&amp;CSC=Y&amp;PAGE=booktext&amp;D=books&amp;SC=01434829&amp;EPUB=Y</v>
      </c>
      <c r="H713" s="8" t="s">
        <v>1795</v>
      </c>
    </row>
    <row r="714" spans="1:8" x14ac:dyDescent="0.3">
      <c r="A714" s="4" t="s">
        <v>2219</v>
      </c>
      <c r="B714" s="5">
        <v>44893</v>
      </c>
      <c r="C714" s="6" t="s">
        <v>2532</v>
      </c>
      <c r="D714" s="6" t="s">
        <v>1347</v>
      </c>
      <c r="E714" s="6" t="s">
        <v>2503</v>
      </c>
      <c r="F714" s="6" t="s">
        <v>1208</v>
      </c>
      <c r="G714" s="7" t="str">
        <f>HYPERLINK("https://ovidsp.ovid.com/ovidweb.cgi?T=JS&amp;NEWS=n&amp;CSC=Y&amp;PAGE=booktext&amp;D=books&amp;SC=01647958&amp;EPUB=Y","https://ovidsp.ovid.com/ovidweb.cgi?T=JS&amp;NEWS=n&amp;CSC=Y&amp;PAGE=booktext&amp;D=books&amp;SC=01647958&amp;EPUB=Y")</f>
        <v>https://ovidsp.ovid.com/ovidweb.cgi?T=JS&amp;NEWS=n&amp;CSC=Y&amp;PAGE=booktext&amp;D=books&amp;SC=01647958&amp;EPUB=Y</v>
      </c>
      <c r="H714" s="8" t="s">
        <v>1795</v>
      </c>
    </row>
    <row r="715" spans="1:8" x14ac:dyDescent="0.3">
      <c r="A715" s="4" t="s">
        <v>2219</v>
      </c>
      <c r="B715" s="5">
        <v>44893</v>
      </c>
      <c r="C715" s="6" t="s">
        <v>2414</v>
      </c>
      <c r="D715" s="6" t="s">
        <v>2069</v>
      </c>
      <c r="E715" s="6" t="s">
        <v>2503</v>
      </c>
      <c r="F715" s="6" t="s">
        <v>241</v>
      </c>
      <c r="G715" s="7" t="str">
        <f>HYPERLINK("https://ovidsp.ovid.com/ovidweb.cgi?T=JS&amp;NEWS=n&amp;CSC=Y&amp;PAGE=booktext&amp;D=books&amp;SC=01647964&amp;EPUB=Y","https://ovidsp.ovid.com/ovidweb.cgi?T=JS&amp;NEWS=n&amp;CSC=Y&amp;PAGE=booktext&amp;D=books&amp;SC=01647964&amp;EPUB=Y")</f>
        <v>https://ovidsp.ovid.com/ovidweb.cgi?T=JS&amp;NEWS=n&amp;CSC=Y&amp;PAGE=booktext&amp;D=books&amp;SC=01647964&amp;EPUB=Y</v>
      </c>
      <c r="H715" s="8" t="s">
        <v>1795</v>
      </c>
    </row>
    <row r="716" spans="1:8" x14ac:dyDescent="0.3">
      <c r="A716" s="4" t="s">
        <v>2568</v>
      </c>
      <c r="B716" s="5">
        <v>44893</v>
      </c>
      <c r="C716" s="6" t="s">
        <v>1558</v>
      </c>
      <c r="D716" s="6" t="s">
        <v>1998</v>
      </c>
      <c r="E716" s="6" t="s">
        <v>2503</v>
      </c>
      <c r="F716" s="6" t="s">
        <v>1208</v>
      </c>
      <c r="G716" s="7" t="str">
        <f>HYPERLINK("https://ovidsp.ovid.com/ovidweb.cgi?T=JS&amp;NEWS=n&amp;CSC=Y&amp;PAGE=booktext&amp;D=books&amp;SC=01434658&amp;EPUB=Y","https://ovidsp.ovid.com/ovidweb.cgi?T=JS&amp;NEWS=n&amp;CSC=Y&amp;PAGE=booktext&amp;D=books&amp;SC=01434658&amp;EPUB=Y")</f>
        <v>https://ovidsp.ovid.com/ovidweb.cgi?T=JS&amp;NEWS=n&amp;CSC=Y&amp;PAGE=booktext&amp;D=books&amp;SC=01434658&amp;EPUB=Y</v>
      </c>
      <c r="H716" s="8" t="s">
        <v>1795</v>
      </c>
    </row>
    <row r="717" spans="1:8" x14ac:dyDescent="0.3">
      <c r="A717" s="4" t="s">
        <v>2356</v>
      </c>
      <c r="B717" s="5">
        <v>44893</v>
      </c>
      <c r="C717" s="6" t="s">
        <v>2367</v>
      </c>
      <c r="D717" s="6" t="s">
        <v>1643</v>
      </c>
      <c r="E717" s="6" t="s">
        <v>2503</v>
      </c>
      <c r="F717" s="6" t="s">
        <v>1208</v>
      </c>
      <c r="G717" s="7" t="str">
        <f>HYPERLINK("https://ovidsp.ovid.com/ovidweb.cgi?T=JS&amp;NEWS=n&amp;CSC=Y&amp;PAGE=booktext&amp;D=books&amp;SC=01434351&amp;EPUB=Y","https://ovidsp.ovid.com/ovidweb.cgi?T=JS&amp;NEWS=n&amp;CSC=Y&amp;PAGE=booktext&amp;D=books&amp;SC=01434351&amp;EPUB=Y")</f>
        <v>https://ovidsp.ovid.com/ovidweb.cgi?T=JS&amp;NEWS=n&amp;CSC=Y&amp;PAGE=booktext&amp;D=books&amp;SC=01434351&amp;EPUB=Y</v>
      </c>
      <c r="H717" s="8" t="s">
        <v>1795</v>
      </c>
    </row>
    <row r="718" spans="1:8" x14ac:dyDescent="0.3">
      <c r="A718" s="4" t="s">
        <v>463</v>
      </c>
      <c r="B718" s="5">
        <v>44893</v>
      </c>
      <c r="C718" s="6" t="s">
        <v>419</v>
      </c>
      <c r="D718" s="6" t="s">
        <v>2220</v>
      </c>
      <c r="E718" s="6" t="s">
        <v>2503</v>
      </c>
      <c r="F718" s="6" t="s">
        <v>1208</v>
      </c>
      <c r="G718" s="7" t="str">
        <f>HYPERLINK("https://ovidsp.ovid.com/ovidweb.cgi?T=JS&amp;NEWS=n&amp;CSC=Y&amp;PAGE=booktext&amp;D=books&amp;SC=01434616&amp;EPUB=Y","https://ovidsp.ovid.com/ovidweb.cgi?T=JS&amp;NEWS=n&amp;CSC=Y&amp;PAGE=booktext&amp;D=books&amp;SC=01434616&amp;EPUB=Y")</f>
        <v>https://ovidsp.ovid.com/ovidweb.cgi?T=JS&amp;NEWS=n&amp;CSC=Y&amp;PAGE=booktext&amp;D=books&amp;SC=01434616&amp;EPUB=Y</v>
      </c>
      <c r="H718" s="8" t="s">
        <v>1795</v>
      </c>
    </row>
    <row r="719" spans="1:8" x14ac:dyDescent="0.3">
      <c r="A719" s="4" t="s">
        <v>1611</v>
      </c>
      <c r="B719" s="5">
        <v>44893</v>
      </c>
      <c r="C719" s="6" t="s">
        <v>1387</v>
      </c>
      <c r="D719" s="6" t="s">
        <v>2340</v>
      </c>
      <c r="E719" s="6" t="s">
        <v>2503</v>
      </c>
      <c r="F719" s="6" t="s">
        <v>1208</v>
      </c>
      <c r="G719" s="7" t="str">
        <f>HYPERLINK("https://ovidsp.ovid.com/ovidweb.cgi?T=JS&amp;NEWS=n&amp;CSC=Y&amp;PAGE=booktext&amp;D=books&amp;SC=02272795&amp;EPUB=Y","https://ovidsp.ovid.com/ovidweb.cgi?T=JS&amp;NEWS=n&amp;CSC=Y&amp;PAGE=booktext&amp;D=books&amp;SC=02272795&amp;EPUB=Y")</f>
        <v>https://ovidsp.ovid.com/ovidweb.cgi?T=JS&amp;NEWS=n&amp;CSC=Y&amp;PAGE=booktext&amp;D=books&amp;SC=02272795&amp;EPUB=Y</v>
      </c>
      <c r="H719" s="8" t="s">
        <v>1795</v>
      </c>
    </row>
    <row r="720" spans="1:8" x14ac:dyDescent="0.3">
      <c r="A720" s="4" t="s">
        <v>1769</v>
      </c>
      <c r="B720" s="5">
        <v>44893</v>
      </c>
      <c r="C720" s="6" t="s">
        <v>902</v>
      </c>
      <c r="D720" s="6" t="s">
        <v>2460</v>
      </c>
      <c r="E720" s="6" t="s">
        <v>2503</v>
      </c>
      <c r="F720" s="6" t="s">
        <v>1208</v>
      </c>
      <c r="G720" s="7" t="str">
        <f>HYPERLINK("https://ovidsp.ovid.com/ovidweb.cgi?T=JS&amp;NEWS=n&amp;CSC=Y&amp;PAGE=booktext&amp;D=books&amp;SC=01867006&amp;EPUB=Y","https://ovidsp.ovid.com/ovidweb.cgi?T=JS&amp;NEWS=n&amp;CSC=Y&amp;PAGE=booktext&amp;D=books&amp;SC=01867006&amp;EPUB=Y")</f>
        <v>https://ovidsp.ovid.com/ovidweb.cgi?T=JS&amp;NEWS=n&amp;CSC=Y&amp;PAGE=booktext&amp;D=books&amp;SC=01867006&amp;EPUB=Y</v>
      </c>
      <c r="H720" s="8" t="s">
        <v>1795</v>
      </c>
    </row>
    <row r="721" spans="1:8" x14ac:dyDescent="0.3">
      <c r="A721" s="4" t="s">
        <v>932</v>
      </c>
      <c r="B721" s="5">
        <v>44893</v>
      </c>
      <c r="C721" s="6" t="s">
        <v>2598</v>
      </c>
      <c r="D721" s="6" t="s">
        <v>823</v>
      </c>
      <c r="E721" s="6" t="s">
        <v>2503</v>
      </c>
      <c r="F721" s="6" t="s">
        <v>1208</v>
      </c>
      <c r="G721" s="7" t="str">
        <f>HYPERLINK("https://ovidsp.ovid.com/ovidweb.cgi?T=JS&amp;NEWS=n&amp;CSC=Y&amp;PAGE=booktext&amp;D=books&amp;SC=02148819&amp;EPUB=Y","https://ovidsp.ovid.com/ovidweb.cgi?T=JS&amp;NEWS=n&amp;CSC=Y&amp;PAGE=booktext&amp;D=books&amp;SC=02148819&amp;EPUB=Y")</f>
        <v>https://ovidsp.ovid.com/ovidweb.cgi?T=JS&amp;NEWS=n&amp;CSC=Y&amp;PAGE=booktext&amp;D=books&amp;SC=02148819&amp;EPUB=Y</v>
      </c>
      <c r="H721" s="8" t="s">
        <v>1795</v>
      </c>
    </row>
    <row r="722" spans="1:8" x14ac:dyDescent="0.3">
      <c r="A722" s="4" t="s">
        <v>1878</v>
      </c>
      <c r="B722" s="5">
        <v>44893</v>
      </c>
      <c r="C722" s="6" t="s">
        <v>2367</v>
      </c>
      <c r="D722" s="6" t="s">
        <v>1643</v>
      </c>
      <c r="E722" s="6" t="s">
        <v>2503</v>
      </c>
      <c r="F722" s="6" t="s">
        <v>1208</v>
      </c>
      <c r="G722" s="7" t="str">
        <f>HYPERLINK("https://ovidsp.ovid.com/ovidweb.cgi?T=JS&amp;NEWS=n&amp;CSC=Y&amp;PAGE=booktext&amp;D=books&amp;SC=01434451&amp;EPUB=Y","https://ovidsp.ovid.com/ovidweb.cgi?T=JS&amp;NEWS=n&amp;CSC=Y&amp;PAGE=booktext&amp;D=books&amp;SC=01434451&amp;EPUB=Y")</f>
        <v>https://ovidsp.ovid.com/ovidweb.cgi?T=JS&amp;NEWS=n&amp;CSC=Y&amp;PAGE=booktext&amp;D=books&amp;SC=01434451&amp;EPUB=Y</v>
      </c>
      <c r="H722" s="8" t="s">
        <v>1795</v>
      </c>
    </row>
    <row r="723" spans="1:8" x14ac:dyDescent="0.3">
      <c r="A723" s="4" t="s">
        <v>2579</v>
      </c>
      <c r="B723" s="5">
        <v>44893</v>
      </c>
      <c r="C723" s="6" t="s">
        <v>1946</v>
      </c>
      <c r="D723" s="6" t="s">
        <v>1894</v>
      </c>
      <c r="E723" s="6" t="s">
        <v>2503</v>
      </c>
      <c r="F723" s="6" t="s">
        <v>1208</v>
      </c>
      <c r="G723" s="7" t="str">
        <f>HYPERLINK("https://ovidsp.ovid.com/ovidweb.cgi?T=JS&amp;NEWS=n&amp;CSC=Y&amp;PAGE=booktext&amp;D=books&amp;SC=01436861&amp;EPUB=Y","https://ovidsp.ovid.com/ovidweb.cgi?T=JS&amp;NEWS=n&amp;CSC=Y&amp;PAGE=booktext&amp;D=books&amp;SC=01436861&amp;EPUB=Y")</f>
        <v>https://ovidsp.ovid.com/ovidweb.cgi?T=JS&amp;NEWS=n&amp;CSC=Y&amp;PAGE=booktext&amp;D=books&amp;SC=01436861&amp;EPUB=Y</v>
      </c>
      <c r="H723" s="8" t="s">
        <v>1795</v>
      </c>
    </row>
    <row r="724" spans="1:8" x14ac:dyDescent="0.3">
      <c r="A724" s="4" t="s">
        <v>2081</v>
      </c>
      <c r="B724" s="5">
        <v>44893</v>
      </c>
      <c r="C724" s="6" t="s">
        <v>918</v>
      </c>
      <c r="D724" s="6" t="s">
        <v>1669</v>
      </c>
      <c r="E724" s="6" t="s">
        <v>2503</v>
      </c>
      <c r="F724" s="6" t="s">
        <v>241</v>
      </c>
      <c r="G724" s="7" t="str">
        <f>HYPERLINK("https://ovidsp.ovid.com/ovidweb.cgi?T=JS&amp;NEWS=n&amp;CSC=Y&amp;PAGE=booktext&amp;D=books&amp;SC=02196444&amp;EPUB=Y","https://ovidsp.ovid.com/ovidweb.cgi?T=JS&amp;NEWS=n&amp;CSC=Y&amp;PAGE=booktext&amp;D=books&amp;SC=02196444&amp;EPUB=Y")</f>
        <v>https://ovidsp.ovid.com/ovidweb.cgi?T=JS&amp;NEWS=n&amp;CSC=Y&amp;PAGE=booktext&amp;D=books&amp;SC=02196444&amp;EPUB=Y</v>
      </c>
      <c r="H724" s="8" t="s">
        <v>1795</v>
      </c>
    </row>
    <row r="725" spans="1:8" x14ac:dyDescent="0.3">
      <c r="A725" s="4" t="s">
        <v>1436</v>
      </c>
      <c r="B725" s="5">
        <v>44893</v>
      </c>
      <c r="C725" s="6" t="s">
        <v>1600</v>
      </c>
      <c r="D725" s="6" t="s">
        <v>2254</v>
      </c>
      <c r="E725" s="6" t="s">
        <v>2503</v>
      </c>
      <c r="F725" s="6" t="s">
        <v>1208</v>
      </c>
      <c r="G725" s="7" t="str">
        <f>HYPERLINK("https://ovidsp.ovid.com/ovidweb.cgi?T=JS&amp;NEWS=n&amp;CSC=Y&amp;PAGE=booktext&amp;D=books&amp;SC=01434538&amp;EPUB=Y","https://ovidsp.ovid.com/ovidweb.cgi?T=JS&amp;NEWS=n&amp;CSC=Y&amp;PAGE=booktext&amp;D=books&amp;SC=01434538&amp;EPUB=Y")</f>
        <v>https://ovidsp.ovid.com/ovidweb.cgi?T=JS&amp;NEWS=n&amp;CSC=Y&amp;PAGE=booktext&amp;D=books&amp;SC=01434538&amp;EPUB=Y</v>
      </c>
      <c r="H725" s="8" t="s">
        <v>1795</v>
      </c>
    </row>
    <row r="726" spans="1:8" x14ac:dyDescent="0.3">
      <c r="A726" s="4" t="s">
        <v>1677</v>
      </c>
      <c r="B726" s="5">
        <v>44893</v>
      </c>
      <c r="C726" s="6" t="s">
        <v>2293</v>
      </c>
      <c r="D726" s="6" t="s">
        <v>2342</v>
      </c>
      <c r="E726" s="6" t="s">
        <v>2503</v>
      </c>
      <c r="F726" s="6" t="s">
        <v>1208</v>
      </c>
      <c r="G726" s="7" t="str">
        <f>HYPERLINK("https://ovidsp.ovid.com/ovidweb.cgi?T=JS&amp;NEWS=n&amp;CSC=Y&amp;PAGE=booktext&amp;D=books&amp;SC=01787379&amp;EPUB=Y","https://ovidsp.ovid.com/ovidweb.cgi?T=JS&amp;NEWS=n&amp;CSC=Y&amp;PAGE=booktext&amp;D=books&amp;SC=01787379&amp;EPUB=Y")</f>
        <v>https://ovidsp.ovid.com/ovidweb.cgi?T=JS&amp;NEWS=n&amp;CSC=Y&amp;PAGE=booktext&amp;D=books&amp;SC=01787379&amp;EPUB=Y</v>
      </c>
      <c r="H726" s="8" t="s">
        <v>1795</v>
      </c>
    </row>
    <row r="727" spans="1:8" x14ac:dyDescent="0.3">
      <c r="A727" s="4" t="s">
        <v>1944</v>
      </c>
      <c r="B727" s="5">
        <v>44893</v>
      </c>
      <c r="C727" s="6" t="s">
        <v>1720</v>
      </c>
      <c r="D727" s="6" t="s">
        <v>2609</v>
      </c>
      <c r="E727" s="6" t="s">
        <v>2503</v>
      </c>
      <c r="F727" s="6" t="s">
        <v>1208</v>
      </c>
      <c r="G727" s="7" t="str">
        <f>HYPERLINK("https://ovidsp.ovid.com/ovidweb.cgi?T=JS&amp;NEWS=n&amp;CSC=Y&amp;PAGE=booktext&amp;D=books&amp;SC=01817241&amp;EPUB=Y","https://ovidsp.ovid.com/ovidweb.cgi?T=JS&amp;NEWS=n&amp;CSC=Y&amp;PAGE=booktext&amp;D=books&amp;SC=01817241&amp;EPUB=Y")</f>
        <v>https://ovidsp.ovid.com/ovidweb.cgi?T=JS&amp;NEWS=n&amp;CSC=Y&amp;PAGE=booktext&amp;D=books&amp;SC=01817241&amp;EPUB=Y</v>
      </c>
      <c r="H727" s="8" t="s">
        <v>1795</v>
      </c>
    </row>
    <row r="728" spans="1:8" x14ac:dyDescent="0.3">
      <c r="A728" s="4" t="s">
        <v>403</v>
      </c>
      <c r="B728" s="5">
        <v>44893</v>
      </c>
      <c r="C728" s="6" t="s">
        <v>2013</v>
      </c>
      <c r="D728" s="6" t="s">
        <v>2307</v>
      </c>
      <c r="E728" s="6" t="s">
        <v>2503</v>
      </c>
      <c r="F728" s="6" t="s">
        <v>1208</v>
      </c>
      <c r="G728" s="7" t="str">
        <f>HYPERLINK("https://ovidsp.ovid.com/ovidweb.cgi?T=JS&amp;NEWS=n&amp;CSC=Y&amp;PAGE=booktext&amp;D=books&amp;SC=01435528&amp;EPUB=Y","https://ovidsp.ovid.com/ovidweb.cgi?T=JS&amp;NEWS=n&amp;CSC=Y&amp;PAGE=booktext&amp;D=books&amp;SC=01435528&amp;EPUB=Y")</f>
        <v>https://ovidsp.ovid.com/ovidweb.cgi?T=JS&amp;NEWS=n&amp;CSC=Y&amp;PAGE=booktext&amp;D=books&amp;SC=01435528&amp;EPUB=Y</v>
      </c>
      <c r="H728" s="8" t="s">
        <v>1795</v>
      </c>
    </row>
    <row r="729" spans="1:8" x14ac:dyDescent="0.3">
      <c r="A729" s="4" t="s">
        <v>211</v>
      </c>
      <c r="B729" s="5">
        <v>44893</v>
      </c>
      <c r="C729" s="6" t="s">
        <v>1523</v>
      </c>
      <c r="D729" s="6" t="s">
        <v>992</v>
      </c>
      <c r="E729" s="6" t="s">
        <v>2503</v>
      </c>
      <c r="F729" s="6" t="s">
        <v>1208</v>
      </c>
      <c r="G729" s="7" t="str">
        <f>HYPERLINK("https://ovidsp.ovid.com/ovidweb.cgi?T=JS&amp;NEWS=n&amp;CSC=Y&amp;PAGE=booktext&amp;D=books&amp;SC=01906640&amp;EPUB=Y","https://ovidsp.ovid.com/ovidweb.cgi?T=JS&amp;NEWS=n&amp;CSC=Y&amp;PAGE=booktext&amp;D=books&amp;SC=01906640&amp;EPUB=Y")</f>
        <v>https://ovidsp.ovid.com/ovidweb.cgi?T=JS&amp;NEWS=n&amp;CSC=Y&amp;PAGE=booktext&amp;D=books&amp;SC=01906640&amp;EPUB=Y</v>
      </c>
      <c r="H729" s="8" t="s">
        <v>1795</v>
      </c>
    </row>
    <row r="730" spans="1:8" x14ac:dyDescent="0.3">
      <c r="A730" s="4" t="s">
        <v>1654</v>
      </c>
      <c r="B730" s="5">
        <v>44893</v>
      </c>
      <c r="C730" s="6" t="s">
        <v>1741</v>
      </c>
      <c r="D730" s="6" t="s">
        <v>1474</v>
      </c>
      <c r="E730" s="6" t="s">
        <v>2503</v>
      </c>
      <c r="F730" s="6" t="s">
        <v>1208</v>
      </c>
      <c r="G730" s="7" t="str">
        <f>HYPERLINK("https://ovidsp.ovid.com/ovidweb.cgi?T=JS&amp;NEWS=n&amp;CSC=Y&amp;PAGE=booktext&amp;D=books&amp;SC=01996154&amp;EPUB=Y","https://ovidsp.ovid.com/ovidweb.cgi?T=JS&amp;NEWS=n&amp;CSC=Y&amp;PAGE=booktext&amp;D=books&amp;SC=01996154&amp;EPUB=Y")</f>
        <v>https://ovidsp.ovid.com/ovidweb.cgi?T=JS&amp;NEWS=n&amp;CSC=Y&amp;PAGE=booktext&amp;D=books&amp;SC=01996154&amp;EPUB=Y</v>
      </c>
      <c r="H730" s="8" t="s">
        <v>1795</v>
      </c>
    </row>
    <row r="731" spans="1:8" x14ac:dyDescent="0.3">
      <c r="A731" s="4" t="s">
        <v>2388</v>
      </c>
      <c r="B731" s="5">
        <v>44893</v>
      </c>
      <c r="C731" s="6" t="s">
        <v>1209</v>
      </c>
      <c r="D731" s="6" t="s">
        <v>2091</v>
      </c>
      <c r="E731" s="6" t="s">
        <v>2503</v>
      </c>
      <c r="F731" s="6" t="s">
        <v>1208</v>
      </c>
      <c r="G731" s="7" t="str">
        <f>HYPERLINK("https://ovidsp.ovid.com/ovidweb.cgi?T=JS&amp;NEWS=n&amp;CSC=Y&amp;PAGE=booktext&amp;D=books&amp;SC=02081104&amp;EPUB=Y","https://ovidsp.ovid.com/ovidweb.cgi?T=JS&amp;NEWS=n&amp;CSC=Y&amp;PAGE=booktext&amp;D=books&amp;SC=02081104&amp;EPUB=Y")</f>
        <v>https://ovidsp.ovid.com/ovidweb.cgi?T=JS&amp;NEWS=n&amp;CSC=Y&amp;PAGE=booktext&amp;D=books&amp;SC=02081104&amp;EPUB=Y</v>
      </c>
      <c r="H731" s="8" t="s">
        <v>1795</v>
      </c>
    </row>
    <row r="732" spans="1:8" x14ac:dyDescent="0.3">
      <c r="A732" s="4" t="s">
        <v>1561</v>
      </c>
      <c r="B732" s="5">
        <v>44893</v>
      </c>
      <c r="C732" s="6" t="s">
        <v>1803</v>
      </c>
      <c r="D732" s="6" t="s">
        <v>828</v>
      </c>
      <c r="E732" s="6" t="s">
        <v>2503</v>
      </c>
      <c r="F732" s="6" t="s">
        <v>1208</v>
      </c>
      <c r="G732" s="7" t="str">
        <f>HYPERLINK("https://ovidsp.ovid.com/ovidweb.cgi?T=JS&amp;NEWS=n&amp;CSC=Y&amp;PAGE=booktext&amp;D=books&amp;SC=02227867&amp;EPUB=Y","https://ovidsp.ovid.com/ovidweb.cgi?T=JS&amp;NEWS=n&amp;CSC=Y&amp;PAGE=booktext&amp;D=books&amp;SC=02227867&amp;EPUB=Y")</f>
        <v>https://ovidsp.ovid.com/ovidweb.cgi?T=JS&amp;NEWS=n&amp;CSC=Y&amp;PAGE=booktext&amp;D=books&amp;SC=02227867&amp;EPUB=Y</v>
      </c>
      <c r="H732" s="8" t="s">
        <v>1795</v>
      </c>
    </row>
    <row r="733" spans="1:8" x14ac:dyDescent="0.3">
      <c r="A733" s="4" t="s">
        <v>310</v>
      </c>
      <c r="B733" s="5">
        <v>44893</v>
      </c>
      <c r="C733" s="6" t="s">
        <v>496</v>
      </c>
      <c r="D733" s="6" t="s">
        <v>1517</v>
      </c>
      <c r="E733" s="6" t="s">
        <v>2503</v>
      </c>
      <c r="F733" s="6" t="s">
        <v>241</v>
      </c>
      <c r="G733" s="7" t="str">
        <f>HYPERLINK("https://ovidsp.ovid.com/ovidweb.cgi?T=JS&amp;NEWS=n&amp;CSC=Y&amp;PAGE=booktext&amp;D=books&amp;SC=02118290&amp;EPUB=Y","https://ovidsp.ovid.com/ovidweb.cgi?T=JS&amp;NEWS=n&amp;CSC=Y&amp;PAGE=booktext&amp;D=books&amp;SC=02118290&amp;EPUB=Y")</f>
        <v>https://ovidsp.ovid.com/ovidweb.cgi?T=JS&amp;NEWS=n&amp;CSC=Y&amp;PAGE=booktext&amp;D=books&amp;SC=02118290&amp;EPUB=Y</v>
      </c>
      <c r="H733" s="8" t="s">
        <v>1795</v>
      </c>
    </row>
    <row r="734" spans="1:8" x14ac:dyDescent="0.3">
      <c r="A734" s="4" t="s">
        <v>310</v>
      </c>
      <c r="B734" s="5">
        <v>44893</v>
      </c>
      <c r="C734" s="6" t="s">
        <v>2367</v>
      </c>
      <c r="D734" s="6" t="s">
        <v>1643</v>
      </c>
      <c r="E734" s="6" t="s">
        <v>2503</v>
      </c>
      <c r="F734" s="6" t="s">
        <v>1208</v>
      </c>
      <c r="G734" s="7" t="str">
        <f>HYPERLINK("https://ovidsp.ovid.com/ovidweb.cgi?T=JS&amp;NEWS=n&amp;CSC=Y&amp;PAGE=booktext&amp;D=books&amp;SC=01434328&amp;EPUB=Y","https://ovidsp.ovid.com/ovidweb.cgi?T=JS&amp;NEWS=n&amp;CSC=Y&amp;PAGE=booktext&amp;D=books&amp;SC=01434328&amp;EPUB=Y")</f>
        <v>https://ovidsp.ovid.com/ovidweb.cgi?T=JS&amp;NEWS=n&amp;CSC=Y&amp;PAGE=booktext&amp;D=books&amp;SC=01434328&amp;EPUB=Y</v>
      </c>
      <c r="H734" s="8" t="s">
        <v>1795</v>
      </c>
    </row>
    <row r="735" spans="1:8" x14ac:dyDescent="0.3">
      <c r="A735" s="4" t="s">
        <v>1224</v>
      </c>
      <c r="B735" s="5">
        <v>44893</v>
      </c>
      <c r="C735" s="6" t="s">
        <v>969</v>
      </c>
      <c r="D735" s="6" t="s">
        <v>176</v>
      </c>
      <c r="E735" s="6" t="s">
        <v>2503</v>
      </c>
      <c r="F735" s="6" t="s">
        <v>1208</v>
      </c>
      <c r="G735" s="7" t="str">
        <f>HYPERLINK("https://ovidsp.ovid.com/ovidweb.cgi?T=JS&amp;NEWS=n&amp;CSC=Y&amp;PAGE=booktext&amp;D=books&amp;SC=01434508&amp;EPUB=Y","https://ovidsp.ovid.com/ovidweb.cgi?T=JS&amp;NEWS=n&amp;CSC=Y&amp;PAGE=booktext&amp;D=books&amp;SC=01434508&amp;EPUB=Y")</f>
        <v>https://ovidsp.ovid.com/ovidweb.cgi?T=JS&amp;NEWS=n&amp;CSC=Y&amp;PAGE=booktext&amp;D=books&amp;SC=01434508&amp;EPUB=Y</v>
      </c>
      <c r="H735" s="8" t="s">
        <v>1795</v>
      </c>
    </row>
    <row r="736" spans="1:8" x14ac:dyDescent="0.3">
      <c r="A736" s="4" t="s">
        <v>1325</v>
      </c>
      <c r="B736" s="5">
        <v>44893</v>
      </c>
      <c r="C736" s="6" t="s">
        <v>1809</v>
      </c>
      <c r="D736" s="6" t="s">
        <v>1754</v>
      </c>
      <c r="E736" s="6" t="s">
        <v>2503</v>
      </c>
      <c r="F736" s="6" t="s">
        <v>1208</v>
      </c>
      <c r="G736" s="7" t="str">
        <f>HYPERLINK("https://ovidsp.ovid.com/ovidweb.cgi?T=JS&amp;NEWS=n&amp;CSC=Y&amp;PAGE=booktext&amp;D=books&amp;SC=02158085&amp;EPUB=Y","https://ovidsp.ovid.com/ovidweb.cgi?T=JS&amp;NEWS=n&amp;CSC=Y&amp;PAGE=booktext&amp;D=books&amp;SC=02158085&amp;EPUB=Y")</f>
        <v>https://ovidsp.ovid.com/ovidweb.cgi?T=JS&amp;NEWS=n&amp;CSC=Y&amp;PAGE=booktext&amp;D=books&amp;SC=02158085&amp;EPUB=Y</v>
      </c>
      <c r="H736" s="8" t="s">
        <v>1795</v>
      </c>
    </row>
    <row r="737" spans="1:8" x14ac:dyDescent="0.3">
      <c r="A737" s="4" t="s">
        <v>1750</v>
      </c>
      <c r="B737" s="5">
        <v>44893</v>
      </c>
      <c r="C737" s="6" t="s">
        <v>2367</v>
      </c>
      <c r="D737" s="6" t="s">
        <v>1643</v>
      </c>
      <c r="E737" s="6" t="s">
        <v>2503</v>
      </c>
      <c r="F737" s="6" t="s">
        <v>1208</v>
      </c>
      <c r="G737" s="7" t="str">
        <f>HYPERLINK("https://ovidsp.ovid.com/ovidweb.cgi?T=JS&amp;NEWS=n&amp;CSC=Y&amp;PAGE=booktext&amp;D=books&amp;SC=01434229&amp;EPUB=Y","https://ovidsp.ovid.com/ovidweb.cgi?T=JS&amp;NEWS=n&amp;CSC=Y&amp;PAGE=booktext&amp;D=books&amp;SC=01434229&amp;EPUB=Y")</f>
        <v>https://ovidsp.ovid.com/ovidweb.cgi?T=JS&amp;NEWS=n&amp;CSC=Y&amp;PAGE=booktext&amp;D=books&amp;SC=01434229&amp;EPUB=Y</v>
      </c>
      <c r="H737" s="8" t="s">
        <v>1795</v>
      </c>
    </row>
    <row r="738" spans="1:8" x14ac:dyDescent="0.3">
      <c r="A738" s="4" t="s">
        <v>1787</v>
      </c>
      <c r="B738" s="5">
        <v>44893</v>
      </c>
      <c r="C738" s="6" t="s">
        <v>2427</v>
      </c>
      <c r="D738" s="6" t="s">
        <v>2389</v>
      </c>
      <c r="E738" s="6" t="s">
        <v>2503</v>
      </c>
      <c r="F738" s="6" t="s">
        <v>1208</v>
      </c>
      <c r="G738" s="7" t="str">
        <f>HYPERLINK("https://ovidsp.ovid.com/ovidweb.cgi?T=JS&amp;NEWS=n&amp;CSC=Y&amp;PAGE=booktext&amp;D=books&amp;SC=01607897&amp;EPUB=Y","https://ovidsp.ovid.com/ovidweb.cgi?T=JS&amp;NEWS=n&amp;CSC=Y&amp;PAGE=booktext&amp;D=books&amp;SC=01607897&amp;EPUB=Y")</f>
        <v>https://ovidsp.ovid.com/ovidweb.cgi?T=JS&amp;NEWS=n&amp;CSC=Y&amp;PAGE=booktext&amp;D=books&amp;SC=01607897&amp;EPUB=Y</v>
      </c>
      <c r="H738" s="8" t="s">
        <v>1795</v>
      </c>
    </row>
    <row r="739" spans="1:8" x14ac:dyDescent="0.3">
      <c r="A739" s="4" t="s">
        <v>1804</v>
      </c>
      <c r="B739" s="5">
        <v>44893</v>
      </c>
      <c r="C739" s="6" t="s">
        <v>47</v>
      </c>
      <c r="D739" s="6" t="s">
        <v>685</v>
      </c>
      <c r="E739" s="6" t="s">
        <v>2503</v>
      </c>
      <c r="F739" s="6" t="s">
        <v>1208</v>
      </c>
      <c r="G739" s="7" t="str">
        <f>HYPERLINK("https://ovidsp.ovid.com/ovidweb.cgi?T=JS&amp;NEWS=n&amp;CSC=Y&amp;PAGE=booktext&amp;D=books&amp;SC=01787377&amp;EPUB=Y","https://ovidsp.ovid.com/ovidweb.cgi?T=JS&amp;NEWS=n&amp;CSC=Y&amp;PAGE=booktext&amp;D=books&amp;SC=01787377&amp;EPUB=Y")</f>
        <v>https://ovidsp.ovid.com/ovidweb.cgi?T=JS&amp;NEWS=n&amp;CSC=Y&amp;PAGE=booktext&amp;D=books&amp;SC=01787377&amp;EPUB=Y</v>
      </c>
      <c r="H739" s="8" t="s">
        <v>1795</v>
      </c>
    </row>
    <row r="740" spans="1:8" x14ac:dyDescent="0.3">
      <c r="A740" s="4" t="s">
        <v>633</v>
      </c>
      <c r="B740" s="5">
        <v>44893</v>
      </c>
      <c r="C740" s="6" t="s">
        <v>1825</v>
      </c>
      <c r="D740" s="6" t="s">
        <v>1584</v>
      </c>
      <c r="E740" s="6" t="s">
        <v>2503</v>
      </c>
      <c r="F740" s="6" t="s">
        <v>1208</v>
      </c>
      <c r="G740" s="7" t="str">
        <f>HYPERLINK("https://ovidsp.ovid.com/ovidweb.cgi?T=JS&amp;NEWS=n&amp;CSC=Y&amp;PAGE=booktext&amp;D=books&amp;SC=01996151&amp;EPUB=Y","https://ovidsp.ovid.com/ovidweb.cgi?T=JS&amp;NEWS=n&amp;CSC=Y&amp;PAGE=booktext&amp;D=books&amp;SC=01996151&amp;EPUB=Y")</f>
        <v>https://ovidsp.ovid.com/ovidweb.cgi?T=JS&amp;NEWS=n&amp;CSC=Y&amp;PAGE=booktext&amp;D=books&amp;SC=01996151&amp;EPUB=Y</v>
      </c>
      <c r="H740" s="8" t="s">
        <v>1795</v>
      </c>
    </row>
    <row r="741" spans="1:8" x14ac:dyDescent="0.3">
      <c r="A741" s="4" t="s">
        <v>1025</v>
      </c>
      <c r="B741" s="5">
        <v>44893</v>
      </c>
      <c r="C741" s="6" t="s">
        <v>1365</v>
      </c>
      <c r="D741" s="6" t="s">
        <v>2415</v>
      </c>
      <c r="E741" s="6" t="s">
        <v>2503</v>
      </c>
      <c r="F741" s="6" t="s">
        <v>1208</v>
      </c>
      <c r="G741" s="7" t="str">
        <f>HYPERLINK("https://ovidsp.ovid.com/ovidweb.cgi?T=JS&amp;NEWS=n&amp;CSC=Y&amp;PAGE=booktext&amp;D=books&amp;SC=01436783&amp;EPUB=Y","https://ovidsp.ovid.com/ovidweb.cgi?T=JS&amp;NEWS=n&amp;CSC=Y&amp;PAGE=booktext&amp;D=books&amp;SC=01436783&amp;EPUB=Y")</f>
        <v>https://ovidsp.ovid.com/ovidweb.cgi?T=JS&amp;NEWS=n&amp;CSC=Y&amp;PAGE=booktext&amp;D=books&amp;SC=01436783&amp;EPUB=Y</v>
      </c>
      <c r="H741" s="8" t="s">
        <v>1795</v>
      </c>
    </row>
    <row r="742" spans="1:8" x14ac:dyDescent="0.3">
      <c r="A742" s="4" t="s">
        <v>1942</v>
      </c>
      <c r="B742" s="5">
        <v>44893</v>
      </c>
      <c r="C742" s="6" t="s">
        <v>244</v>
      </c>
      <c r="D742" s="6" t="s">
        <v>978</v>
      </c>
      <c r="E742" s="6" t="s">
        <v>2503</v>
      </c>
      <c r="F742" s="6" t="s">
        <v>1208</v>
      </c>
      <c r="G742" s="7" t="str">
        <f>HYPERLINK("https://ovidsp.ovid.com/ovidweb.cgi?T=JS&amp;NEWS=n&amp;CSC=Y&amp;PAGE=booktext&amp;D=books&amp;SC=01434440&amp;EPUB=Y","https://ovidsp.ovid.com/ovidweb.cgi?T=JS&amp;NEWS=n&amp;CSC=Y&amp;PAGE=booktext&amp;D=books&amp;SC=01434440&amp;EPUB=Y")</f>
        <v>https://ovidsp.ovid.com/ovidweb.cgi?T=JS&amp;NEWS=n&amp;CSC=Y&amp;PAGE=booktext&amp;D=books&amp;SC=01434440&amp;EPUB=Y</v>
      </c>
      <c r="H742" s="8" t="s">
        <v>1795</v>
      </c>
    </row>
    <row r="743" spans="1:8" x14ac:dyDescent="0.3">
      <c r="A743" s="4" t="s">
        <v>75</v>
      </c>
      <c r="B743" s="5">
        <v>44893</v>
      </c>
      <c r="C743" s="6" t="s">
        <v>2367</v>
      </c>
      <c r="D743" s="6" t="s">
        <v>1643</v>
      </c>
      <c r="E743" s="6" t="s">
        <v>2503</v>
      </c>
      <c r="F743" s="6" t="s">
        <v>241</v>
      </c>
      <c r="G743" s="7" t="str">
        <f>HYPERLINK("https://ovidsp.ovid.com/ovidweb.cgi?T=JS&amp;NEWS=n&amp;CSC=Y&amp;PAGE=booktext&amp;D=books&amp;SC=01434410&amp;EPUB=Y","https://ovidsp.ovid.com/ovidweb.cgi?T=JS&amp;NEWS=n&amp;CSC=Y&amp;PAGE=booktext&amp;D=books&amp;SC=01434410&amp;EPUB=Y")</f>
        <v>https://ovidsp.ovid.com/ovidweb.cgi?T=JS&amp;NEWS=n&amp;CSC=Y&amp;PAGE=booktext&amp;D=books&amp;SC=01434410&amp;EPUB=Y</v>
      </c>
      <c r="H743" s="8" t="s">
        <v>1795</v>
      </c>
    </row>
    <row r="744" spans="1:8" x14ac:dyDescent="0.3">
      <c r="A744" s="4" t="s">
        <v>75</v>
      </c>
      <c r="B744" s="5">
        <v>44893</v>
      </c>
      <c r="C744" s="6" t="s">
        <v>1784</v>
      </c>
      <c r="D744" s="6" t="s">
        <v>841</v>
      </c>
      <c r="E744" s="6" t="s">
        <v>2503</v>
      </c>
      <c r="F744" s="6" t="s">
        <v>619</v>
      </c>
      <c r="G744" s="7" t="str">
        <f>HYPERLINK("https://ovidsp.ovid.com/ovidweb.cgi?T=JS&amp;NEWS=n&amp;CSC=Y&amp;PAGE=booktext&amp;D=books&amp;SC=01694352&amp;EPUB=Y","https://ovidsp.ovid.com/ovidweb.cgi?T=JS&amp;NEWS=n&amp;CSC=Y&amp;PAGE=booktext&amp;D=books&amp;SC=01694352&amp;EPUB=Y")</f>
        <v>https://ovidsp.ovid.com/ovidweb.cgi?T=JS&amp;NEWS=n&amp;CSC=Y&amp;PAGE=booktext&amp;D=books&amp;SC=01694352&amp;EPUB=Y</v>
      </c>
      <c r="H744" s="8" t="s">
        <v>1795</v>
      </c>
    </row>
    <row r="745" spans="1:8" x14ac:dyDescent="0.3">
      <c r="A745" s="4" t="s">
        <v>2136</v>
      </c>
      <c r="B745" s="5">
        <v>44893</v>
      </c>
      <c r="C745" s="6" t="s">
        <v>1282</v>
      </c>
      <c r="D745" s="6" t="s">
        <v>1678</v>
      </c>
      <c r="E745" s="6" t="s">
        <v>2503</v>
      </c>
      <c r="F745" s="6" t="s">
        <v>1208</v>
      </c>
      <c r="G745" s="7" t="str">
        <f>HYPERLINK("https://ovidsp.ovid.com/ovidweb.cgi?T=JS&amp;NEWS=n&amp;CSC=Y&amp;PAGE=booktext&amp;D=books&amp;SC=02024431&amp;EPUB=Y","https://ovidsp.ovid.com/ovidweb.cgi?T=JS&amp;NEWS=n&amp;CSC=Y&amp;PAGE=booktext&amp;D=books&amp;SC=02024431&amp;EPUB=Y")</f>
        <v>https://ovidsp.ovid.com/ovidweb.cgi?T=JS&amp;NEWS=n&amp;CSC=Y&amp;PAGE=booktext&amp;D=books&amp;SC=02024431&amp;EPUB=Y</v>
      </c>
      <c r="H745" s="8" t="s">
        <v>1795</v>
      </c>
    </row>
    <row r="746" spans="1:8" x14ac:dyDescent="0.3">
      <c r="A746" s="4" t="s">
        <v>1311</v>
      </c>
      <c r="B746" s="5">
        <v>44893</v>
      </c>
      <c r="C746" s="6" t="s">
        <v>393</v>
      </c>
      <c r="D746" s="6" t="s">
        <v>1724</v>
      </c>
      <c r="E746" s="6" t="s">
        <v>2503</v>
      </c>
      <c r="F746" s="6" t="s">
        <v>1208</v>
      </c>
      <c r="G746" s="7" t="str">
        <f>HYPERLINK("https://ovidsp.ovid.com/ovidweb.cgi?T=JS&amp;NEWS=n&amp;CSC=Y&amp;PAGE=booktext&amp;D=books&amp;SC=01787200&amp;EPUB=Y","https://ovidsp.ovid.com/ovidweb.cgi?T=JS&amp;NEWS=n&amp;CSC=Y&amp;PAGE=booktext&amp;D=books&amp;SC=01787200&amp;EPUB=Y")</f>
        <v>https://ovidsp.ovid.com/ovidweb.cgi?T=JS&amp;NEWS=n&amp;CSC=Y&amp;PAGE=booktext&amp;D=books&amp;SC=01787200&amp;EPUB=Y</v>
      </c>
      <c r="H746" s="8" t="s">
        <v>1795</v>
      </c>
    </row>
    <row r="747" spans="1:8" x14ac:dyDescent="0.3">
      <c r="A747" s="4" t="s">
        <v>2151</v>
      </c>
      <c r="B747" s="5">
        <v>44893</v>
      </c>
      <c r="C747" s="6" t="s">
        <v>2367</v>
      </c>
      <c r="D747" s="6" t="s">
        <v>1643</v>
      </c>
      <c r="E747" s="6" t="s">
        <v>2503</v>
      </c>
      <c r="F747" s="6" t="s">
        <v>1208</v>
      </c>
      <c r="G747" s="7" t="str">
        <f>HYPERLINK("https://ovidsp.ovid.com/ovidweb.cgi?T=JS&amp;NEWS=n&amp;CSC=Y&amp;PAGE=booktext&amp;D=books&amp;SC=01434295&amp;EPUB=Y","https://ovidsp.ovid.com/ovidweb.cgi?T=JS&amp;NEWS=n&amp;CSC=Y&amp;PAGE=booktext&amp;D=books&amp;SC=01434295&amp;EPUB=Y")</f>
        <v>https://ovidsp.ovid.com/ovidweb.cgi?T=JS&amp;NEWS=n&amp;CSC=Y&amp;PAGE=booktext&amp;D=books&amp;SC=01434295&amp;EPUB=Y</v>
      </c>
      <c r="H747" s="8" t="s">
        <v>1795</v>
      </c>
    </row>
    <row r="748" spans="1:8" x14ac:dyDescent="0.3">
      <c r="A748" s="4" t="s">
        <v>2291</v>
      </c>
      <c r="B748" s="5">
        <v>44893</v>
      </c>
      <c r="C748" s="6" t="s">
        <v>1237</v>
      </c>
      <c r="D748" s="6" t="s">
        <v>726</v>
      </c>
      <c r="E748" s="6" t="s">
        <v>2503</v>
      </c>
      <c r="F748" s="6" t="s">
        <v>1208</v>
      </c>
      <c r="G748" s="7" t="str">
        <f>HYPERLINK("https://ovidsp.ovid.com/ovidweb.cgi?T=JS&amp;NEWS=n&amp;CSC=Y&amp;PAGE=booktext&amp;D=books&amp;SC=01434613&amp;EPUB=Y","https://ovidsp.ovid.com/ovidweb.cgi?T=JS&amp;NEWS=n&amp;CSC=Y&amp;PAGE=booktext&amp;D=books&amp;SC=01434613&amp;EPUB=Y")</f>
        <v>https://ovidsp.ovid.com/ovidweb.cgi?T=JS&amp;NEWS=n&amp;CSC=Y&amp;PAGE=booktext&amp;D=books&amp;SC=01434613&amp;EPUB=Y</v>
      </c>
      <c r="H748" s="8" t="s">
        <v>1795</v>
      </c>
    </row>
    <row r="749" spans="1:8" x14ac:dyDescent="0.3">
      <c r="A749" s="4" t="s">
        <v>2422</v>
      </c>
      <c r="B749" s="5">
        <v>44893</v>
      </c>
      <c r="C749" s="6" t="s">
        <v>1805</v>
      </c>
      <c r="D749" s="6" t="s">
        <v>1270</v>
      </c>
      <c r="E749" s="6" t="s">
        <v>2503</v>
      </c>
      <c r="F749" s="6" t="s">
        <v>1208</v>
      </c>
      <c r="G749" s="7" t="str">
        <f>HYPERLINK("https://ovidsp.ovid.com/ovidweb.cgi?T=JS&amp;NEWS=n&amp;CSC=Y&amp;PAGE=booktext&amp;D=books&amp;SC=02233681&amp;EPUB=Y","https://ovidsp.ovid.com/ovidweb.cgi?T=JS&amp;NEWS=n&amp;CSC=Y&amp;PAGE=booktext&amp;D=books&amp;SC=02233681&amp;EPUB=Y")</f>
        <v>https://ovidsp.ovid.com/ovidweb.cgi?T=JS&amp;NEWS=n&amp;CSC=Y&amp;PAGE=booktext&amp;D=books&amp;SC=02233681&amp;EPUB=Y</v>
      </c>
      <c r="H749" s="8" t="s">
        <v>1795</v>
      </c>
    </row>
    <row r="750" spans="1:8" x14ac:dyDescent="0.3">
      <c r="A750" s="4" t="s">
        <v>117</v>
      </c>
      <c r="B750" s="5">
        <v>44893</v>
      </c>
      <c r="C750" s="6" t="s">
        <v>50</v>
      </c>
      <c r="D750" s="6" t="s">
        <v>2118</v>
      </c>
      <c r="E750" s="6" t="s">
        <v>2503</v>
      </c>
      <c r="F750" s="6" t="s">
        <v>1208</v>
      </c>
      <c r="G750" s="7" t="str">
        <f>HYPERLINK("https://ovidsp.ovid.com/ovidweb.cgi?T=JS&amp;NEWS=n&amp;CSC=Y&amp;PAGE=booktext&amp;D=books&amp;SC=01434619&amp;EPUB=Y","https://ovidsp.ovid.com/ovidweb.cgi?T=JS&amp;NEWS=n&amp;CSC=Y&amp;PAGE=booktext&amp;D=books&amp;SC=01434619&amp;EPUB=Y")</f>
        <v>https://ovidsp.ovid.com/ovidweb.cgi?T=JS&amp;NEWS=n&amp;CSC=Y&amp;PAGE=booktext&amp;D=books&amp;SC=01434619&amp;EPUB=Y</v>
      </c>
      <c r="H750" s="8" t="s">
        <v>1795</v>
      </c>
    </row>
    <row r="751" spans="1:8" x14ac:dyDescent="0.3">
      <c r="A751" s="4" t="s">
        <v>2190</v>
      </c>
      <c r="B751" s="5">
        <v>44893</v>
      </c>
      <c r="C751" s="6" t="s">
        <v>15</v>
      </c>
      <c r="D751" s="6" t="s">
        <v>2243</v>
      </c>
      <c r="E751" s="6" t="s">
        <v>2503</v>
      </c>
      <c r="F751" s="6" t="s">
        <v>1208</v>
      </c>
      <c r="G751" s="7" t="str">
        <f>HYPERLINK("https://ovidsp.ovid.com/ovidweb.cgi?T=JS&amp;NEWS=n&amp;CSC=Y&amp;PAGE=booktext&amp;D=books&amp;SC=01714654&amp;EPUB=Y","https://ovidsp.ovid.com/ovidweb.cgi?T=JS&amp;NEWS=n&amp;CSC=Y&amp;PAGE=booktext&amp;D=books&amp;SC=01714654&amp;EPUB=Y")</f>
        <v>https://ovidsp.ovid.com/ovidweb.cgi?T=JS&amp;NEWS=n&amp;CSC=Y&amp;PAGE=booktext&amp;D=books&amp;SC=01714654&amp;EPUB=Y</v>
      </c>
      <c r="H751" s="8" t="s">
        <v>1795</v>
      </c>
    </row>
    <row r="752" spans="1:8" x14ac:dyDescent="0.3">
      <c r="A752" s="4" t="s">
        <v>1915</v>
      </c>
      <c r="B752" s="5">
        <v>44893</v>
      </c>
      <c r="C752" s="6" t="s">
        <v>915</v>
      </c>
      <c r="D752" s="6" t="s">
        <v>1088</v>
      </c>
      <c r="E752" s="6" t="s">
        <v>2503</v>
      </c>
      <c r="F752" s="6" t="s">
        <v>241</v>
      </c>
      <c r="G752" s="7" t="str">
        <f>HYPERLINK("https://ovidsp.ovid.com/ovidweb.cgi?T=JS&amp;NEWS=n&amp;CSC=Y&amp;PAGE=booktext&amp;D=books&amp;SC=01984730&amp;EPUB=Y","https://ovidsp.ovid.com/ovidweb.cgi?T=JS&amp;NEWS=n&amp;CSC=Y&amp;PAGE=booktext&amp;D=books&amp;SC=01984730&amp;EPUB=Y")</f>
        <v>https://ovidsp.ovid.com/ovidweb.cgi?T=JS&amp;NEWS=n&amp;CSC=Y&amp;PAGE=booktext&amp;D=books&amp;SC=01984730&amp;EPUB=Y</v>
      </c>
      <c r="H752" s="8" t="s">
        <v>1795</v>
      </c>
    </row>
    <row r="753" spans="1:8" x14ac:dyDescent="0.3">
      <c r="A753" s="4" t="s">
        <v>1915</v>
      </c>
      <c r="B753" s="5">
        <v>44893</v>
      </c>
      <c r="C753" s="6" t="s">
        <v>1397</v>
      </c>
      <c r="D753" s="6" t="s">
        <v>970</v>
      </c>
      <c r="E753" s="6" t="s">
        <v>2503</v>
      </c>
      <c r="F753" s="6" t="s">
        <v>1208</v>
      </c>
      <c r="G753" s="7" t="str">
        <f>HYPERLINK("https://ovidsp.ovid.com/ovidweb.cgi?T=JS&amp;NEWS=n&amp;CSC=Y&amp;PAGE=booktext&amp;D=books&amp;SC=01434548&amp;EPUB=Y","https://ovidsp.ovid.com/ovidweb.cgi?T=JS&amp;NEWS=n&amp;CSC=Y&amp;PAGE=booktext&amp;D=books&amp;SC=01434548&amp;EPUB=Y")</f>
        <v>https://ovidsp.ovid.com/ovidweb.cgi?T=JS&amp;NEWS=n&amp;CSC=Y&amp;PAGE=booktext&amp;D=books&amp;SC=01434548&amp;EPUB=Y</v>
      </c>
      <c r="H753" s="8" t="s">
        <v>1795</v>
      </c>
    </row>
    <row r="754" spans="1:8" x14ac:dyDescent="0.3">
      <c r="A754" s="4" t="s">
        <v>2185</v>
      </c>
      <c r="B754" s="5">
        <v>44893</v>
      </c>
      <c r="C754" s="6" t="s">
        <v>2367</v>
      </c>
      <c r="D754" s="6" t="s">
        <v>1643</v>
      </c>
      <c r="E754" s="6" t="s">
        <v>2503</v>
      </c>
      <c r="F754" s="6" t="s">
        <v>241</v>
      </c>
      <c r="G754" s="7" t="str">
        <f>HYPERLINK("https://ovidsp.ovid.com/ovidweb.cgi?T=JS&amp;NEWS=n&amp;CSC=Y&amp;PAGE=booktext&amp;D=books&amp;SC=01434492&amp;EPUB=Y","https://ovidsp.ovid.com/ovidweb.cgi?T=JS&amp;NEWS=n&amp;CSC=Y&amp;PAGE=booktext&amp;D=books&amp;SC=01434492&amp;EPUB=Y")</f>
        <v>https://ovidsp.ovid.com/ovidweb.cgi?T=JS&amp;NEWS=n&amp;CSC=Y&amp;PAGE=booktext&amp;D=books&amp;SC=01434492&amp;EPUB=Y</v>
      </c>
      <c r="H754" s="8" t="s">
        <v>1795</v>
      </c>
    </row>
    <row r="755" spans="1:8" x14ac:dyDescent="0.3">
      <c r="A755" s="4" t="s">
        <v>2185</v>
      </c>
      <c r="B755" s="5">
        <v>44893</v>
      </c>
      <c r="C755" s="6" t="s">
        <v>534</v>
      </c>
      <c r="D755" s="6" t="s">
        <v>1323</v>
      </c>
      <c r="E755" s="6" t="s">
        <v>2503</v>
      </c>
      <c r="F755" s="6" t="s">
        <v>619</v>
      </c>
      <c r="G755" s="7" t="str">
        <f>HYPERLINK("https://ovidsp.ovid.com/ovidweb.cgi?T=JS&amp;NEWS=n&amp;CSC=Y&amp;PAGE=booktext&amp;D=books&amp;SC=02091990&amp;EPUB=Y","https://ovidsp.ovid.com/ovidweb.cgi?T=JS&amp;NEWS=n&amp;CSC=Y&amp;PAGE=booktext&amp;D=books&amp;SC=02091990&amp;EPUB=Y")</f>
        <v>https://ovidsp.ovid.com/ovidweb.cgi?T=JS&amp;NEWS=n&amp;CSC=Y&amp;PAGE=booktext&amp;D=books&amp;SC=02091990&amp;EPUB=Y</v>
      </c>
      <c r="H755" s="8" t="s">
        <v>1795</v>
      </c>
    </row>
    <row r="756" spans="1:8" x14ac:dyDescent="0.3">
      <c r="A756" s="4" t="s">
        <v>883</v>
      </c>
      <c r="B756" s="5">
        <v>44893</v>
      </c>
      <c r="C756" s="6" t="s">
        <v>2367</v>
      </c>
      <c r="D756" s="6" t="s">
        <v>1643</v>
      </c>
      <c r="E756" s="6" t="s">
        <v>2503</v>
      </c>
      <c r="F756" s="6" t="s">
        <v>619</v>
      </c>
      <c r="G756" s="7" t="str">
        <f>HYPERLINK("https://ovidsp.ovid.com/ovidweb.cgi?T=JS&amp;NEWS=n&amp;CSC=Y&amp;PAGE=booktext&amp;D=books&amp;SC=01434278&amp;EPUB=Y","https://ovidsp.ovid.com/ovidweb.cgi?T=JS&amp;NEWS=n&amp;CSC=Y&amp;PAGE=booktext&amp;D=books&amp;SC=01434278&amp;EPUB=Y")</f>
        <v>https://ovidsp.ovid.com/ovidweb.cgi?T=JS&amp;NEWS=n&amp;CSC=Y&amp;PAGE=booktext&amp;D=books&amp;SC=01434278&amp;EPUB=Y</v>
      </c>
      <c r="H756" s="8" t="s">
        <v>1795</v>
      </c>
    </row>
    <row r="757" spans="1:8" x14ac:dyDescent="0.3">
      <c r="A757" s="4" t="s">
        <v>1095</v>
      </c>
      <c r="B757" s="5">
        <v>44893</v>
      </c>
      <c r="C757" s="6" t="s">
        <v>1782</v>
      </c>
      <c r="D757" s="6" t="s">
        <v>1506</v>
      </c>
      <c r="E757" s="6" t="s">
        <v>2503</v>
      </c>
      <c r="F757" s="6" t="s">
        <v>1208</v>
      </c>
      <c r="G757" s="7" t="str">
        <f>HYPERLINK("https://ovidsp.ovid.com/ovidweb.cgi?T=JS&amp;NEWS=n&amp;CSC=Y&amp;PAGE=booktext&amp;D=books&amp;SC=01714651&amp;EPUB=Y","https://ovidsp.ovid.com/ovidweb.cgi?T=JS&amp;NEWS=n&amp;CSC=Y&amp;PAGE=booktext&amp;D=books&amp;SC=01714651&amp;EPUB=Y")</f>
        <v>https://ovidsp.ovid.com/ovidweb.cgi?T=JS&amp;NEWS=n&amp;CSC=Y&amp;PAGE=booktext&amp;D=books&amp;SC=01714651&amp;EPUB=Y</v>
      </c>
      <c r="H757" s="8" t="s">
        <v>1795</v>
      </c>
    </row>
    <row r="758" spans="1:8" x14ac:dyDescent="0.3">
      <c r="A758" s="4" t="s">
        <v>2082</v>
      </c>
      <c r="B758" s="5">
        <v>44893</v>
      </c>
      <c r="C758" s="6" t="s">
        <v>2367</v>
      </c>
      <c r="D758" s="6" t="s">
        <v>1643</v>
      </c>
      <c r="E758" s="6" t="s">
        <v>2503</v>
      </c>
      <c r="F758" s="6" t="s">
        <v>1208</v>
      </c>
      <c r="G758" s="7" t="str">
        <f>HYPERLINK("https://ovidsp.ovid.com/ovidweb.cgi?T=JS&amp;NEWS=n&amp;CSC=Y&amp;PAGE=booktext&amp;D=books&amp;SC=01434378&amp;EPUB=Y","https://ovidsp.ovid.com/ovidweb.cgi?T=JS&amp;NEWS=n&amp;CSC=Y&amp;PAGE=booktext&amp;D=books&amp;SC=01434378&amp;EPUB=Y")</f>
        <v>https://ovidsp.ovid.com/ovidweb.cgi?T=JS&amp;NEWS=n&amp;CSC=Y&amp;PAGE=booktext&amp;D=books&amp;SC=01434378&amp;EPUB=Y</v>
      </c>
      <c r="H758" s="8" t="s">
        <v>1795</v>
      </c>
    </row>
    <row r="759" spans="1:8" x14ac:dyDescent="0.3">
      <c r="A759" s="4" t="s">
        <v>74</v>
      </c>
      <c r="B759" s="5">
        <v>44893</v>
      </c>
      <c r="C759" s="6" t="s">
        <v>544</v>
      </c>
      <c r="D759" s="6" t="s">
        <v>629</v>
      </c>
      <c r="E759" s="6" t="s">
        <v>2503</v>
      </c>
      <c r="F759" s="6" t="s">
        <v>1208</v>
      </c>
      <c r="G759" s="7" t="str">
        <f>HYPERLINK("https://ovidsp.ovid.com/ovidweb.cgi?T=JS&amp;NEWS=n&amp;CSC=Y&amp;PAGE=booktext&amp;D=books&amp;SC=01647999&amp;EPUB=Y","https://ovidsp.ovid.com/ovidweb.cgi?T=JS&amp;NEWS=n&amp;CSC=Y&amp;PAGE=booktext&amp;D=books&amp;SC=01647999&amp;EPUB=Y")</f>
        <v>https://ovidsp.ovid.com/ovidweb.cgi?T=JS&amp;NEWS=n&amp;CSC=Y&amp;PAGE=booktext&amp;D=books&amp;SC=01647999&amp;EPUB=Y</v>
      </c>
      <c r="H759" s="8" t="s">
        <v>1795</v>
      </c>
    </row>
    <row r="760" spans="1:8" x14ac:dyDescent="0.3">
      <c r="A760" s="4" t="s">
        <v>74</v>
      </c>
      <c r="B760" s="5">
        <v>44893</v>
      </c>
      <c r="C760" s="6" t="s">
        <v>370</v>
      </c>
      <c r="D760" s="6" t="s">
        <v>556</v>
      </c>
      <c r="E760" s="6" t="s">
        <v>2503</v>
      </c>
      <c r="F760" s="6" t="s">
        <v>241</v>
      </c>
      <c r="G760" s="7" t="str">
        <f>HYPERLINK("https://ovidsp.ovid.com/ovidweb.cgi?T=JS&amp;NEWS=n&amp;CSC=Y&amp;PAGE=booktext&amp;D=books&amp;SC=02003491&amp;EPUB=Y","https://ovidsp.ovid.com/ovidweb.cgi?T=JS&amp;NEWS=n&amp;CSC=Y&amp;PAGE=booktext&amp;D=books&amp;SC=02003491&amp;EPUB=Y")</f>
        <v>https://ovidsp.ovid.com/ovidweb.cgi?T=JS&amp;NEWS=n&amp;CSC=Y&amp;PAGE=booktext&amp;D=books&amp;SC=02003491&amp;EPUB=Y</v>
      </c>
      <c r="H760" s="8" t="s">
        <v>1795</v>
      </c>
    </row>
    <row r="761" spans="1:8" x14ac:dyDescent="0.3">
      <c r="A761" s="4" t="s">
        <v>939</v>
      </c>
      <c r="B761" s="5">
        <v>44893</v>
      </c>
      <c r="C761" s="6" t="s">
        <v>2403</v>
      </c>
      <c r="D761" s="6" t="s">
        <v>1432</v>
      </c>
      <c r="E761" s="6" t="s">
        <v>2503</v>
      </c>
      <c r="F761" s="6" t="s">
        <v>1208</v>
      </c>
      <c r="G761" s="7" t="str">
        <f>HYPERLINK("https://ovidsp.ovid.com/ovidweb.cgi?T=JS&amp;NEWS=n&amp;CSC=Y&amp;PAGE=booktext&amp;D=books&amp;SC=01845095&amp;EPUB=Y","https://ovidsp.ovid.com/ovidweb.cgi?T=JS&amp;NEWS=n&amp;CSC=Y&amp;PAGE=booktext&amp;D=books&amp;SC=01845095&amp;EPUB=Y")</f>
        <v>https://ovidsp.ovid.com/ovidweb.cgi?T=JS&amp;NEWS=n&amp;CSC=Y&amp;PAGE=booktext&amp;D=books&amp;SC=01845095&amp;EPUB=Y</v>
      </c>
      <c r="H761" s="8" t="s">
        <v>1795</v>
      </c>
    </row>
    <row r="762" spans="1:8" x14ac:dyDescent="0.3">
      <c r="A762" s="4" t="s">
        <v>1089</v>
      </c>
      <c r="B762" s="5">
        <v>44893</v>
      </c>
      <c r="C762" s="6" t="s">
        <v>242</v>
      </c>
      <c r="D762" s="6" t="s">
        <v>429</v>
      </c>
      <c r="E762" s="6" t="s">
        <v>2503</v>
      </c>
      <c r="F762" s="6" t="s">
        <v>1208</v>
      </c>
      <c r="G762" s="7" t="str">
        <f>HYPERLINK("https://ovidsp.ovid.com/ovidweb.cgi?T=JS&amp;NEWS=n&amp;CSC=Y&amp;PAGE=booktext&amp;D=books&amp;SC=01435029&amp;EPUB=Y","https://ovidsp.ovid.com/ovidweb.cgi?T=JS&amp;NEWS=n&amp;CSC=Y&amp;PAGE=booktext&amp;D=books&amp;SC=01435029&amp;EPUB=Y")</f>
        <v>https://ovidsp.ovid.com/ovidweb.cgi?T=JS&amp;NEWS=n&amp;CSC=Y&amp;PAGE=booktext&amp;D=books&amp;SC=01435029&amp;EPUB=Y</v>
      </c>
      <c r="H762" s="8" t="s">
        <v>1795</v>
      </c>
    </row>
    <row r="763" spans="1:8" x14ac:dyDescent="0.3">
      <c r="A763" s="4" t="s">
        <v>82</v>
      </c>
      <c r="B763" s="5">
        <v>44893</v>
      </c>
      <c r="C763" s="6" t="s">
        <v>846</v>
      </c>
      <c r="D763" s="6" t="s">
        <v>489</v>
      </c>
      <c r="E763" s="6" t="s">
        <v>2503</v>
      </c>
      <c r="F763" s="6" t="s">
        <v>1208</v>
      </c>
      <c r="G763" s="7" t="str">
        <f>HYPERLINK("https://ovidsp.ovid.com/ovidweb.cgi?T=JS&amp;NEWS=n&amp;CSC=Y&amp;PAGE=booktext&amp;D=books&amp;SC=01979291&amp;EPUB=Y","https://ovidsp.ovid.com/ovidweb.cgi?T=JS&amp;NEWS=n&amp;CSC=Y&amp;PAGE=booktext&amp;D=books&amp;SC=01979291&amp;EPUB=Y")</f>
        <v>https://ovidsp.ovid.com/ovidweb.cgi?T=JS&amp;NEWS=n&amp;CSC=Y&amp;PAGE=booktext&amp;D=books&amp;SC=01979291&amp;EPUB=Y</v>
      </c>
      <c r="H763" s="8" t="s">
        <v>1795</v>
      </c>
    </row>
    <row r="764" spans="1:8" x14ac:dyDescent="0.3">
      <c r="A764" s="4" t="s">
        <v>996</v>
      </c>
      <c r="B764" s="5">
        <v>44893</v>
      </c>
      <c r="C764" s="6" t="s">
        <v>1165</v>
      </c>
      <c r="D764" s="6" t="s">
        <v>1476</v>
      </c>
      <c r="E764" s="6" t="s">
        <v>2503</v>
      </c>
      <c r="F764" s="6" t="s">
        <v>1208</v>
      </c>
      <c r="G764" s="7" t="str">
        <f>HYPERLINK("https://ovidsp.ovid.com/ovidweb.cgi?T=JS&amp;NEWS=n&amp;CSC=Y&amp;PAGE=booktext&amp;D=books&amp;SC=01845218&amp;EPUB=Y","https://ovidsp.ovid.com/ovidweb.cgi?T=JS&amp;NEWS=n&amp;CSC=Y&amp;PAGE=booktext&amp;D=books&amp;SC=01845218&amp;EPUB=Y")</f>
        <v>https://ovidsp.ovid.com/ovidweb.cgi?T=JS&amp;NEWS=n&amp;CSC=Y&amp;PAGE=booktext&amp;D=books&amp;SC=01845218&amp;EPUB=Y</v>
      </c>
      <c r="H764" s="8" t="s">
        <v>1795</v>
      </c>
    </row>
    <row r="765" spans="1:8" x14ac:dyDescent="0.3">
      <c r="A765" s="4" t="s">
        <v>86</v>
      </c>
      <c r="B765" s="5">
        <v>44893</v>
      </c>
      <c r="C765" s="6" t="s">
        <v>1427</v>
      </c>
      <c r="D765" s="6" t="s">
        <v>563</v>
      </c>
      <c r="E765" s="6" t="s">
        <v>2503</v>
      </c>
      <c r="F765" s="6" t="s">
        <v>1208</v>
      </c>
      <c r="G765" s="7" t="str">
        <f>HYPERLINK("https://ovidsp.ovid.com/ovidweb.cgi?T=JS&amp;NEWS=n&amp;CSC=Y&amp;PAGE=booktext&amp;D=books&amp;SC=02272940&amp;EPUB=Y","https://ovidsp.ovid.com/ovidweb.cgi?T=JS&amp;NEWS=n&amp;CSC=Y&amp;PAGE=booktext&amp;D=books&amp;SC=02272940&amp;EPUB=Y")</f>
        <v>https://ovidsp.ovid.com/ovidweb.cgi?T=JS&amp;NEWS=n&amp;CSC=Y&amp;PAGE=booktext&amp;D=books&amp;SC=02272940&amp;EPUB=Y</v>
      </c>
      <c r="H765" s="8" t="s">
        <v>1795</v>
      </c>
    </row>
    <row r="766" spans="1:8" x14ac:dyDescent="0.3">
      <c r="A766" s="4" t="s">
        <v>2299</v>
      </c>
      <c r="B766" s="5">
        <v>44893</v>
      </c>
      <c r="C766" s="6" t="s">
        <v>25</v>
      </c>
      <c r="D766" s="6" t="s">
        <v>1949</v>
      </c>
      <c r="E766" s="6" t="s">
        <v>2503</v>
      </c>
      <c r="F766" s="6" t="s">
        <v>1208</v>
      </c>
      <c r="G766" s="7" t="str">
        <f>HYPERLINK("https://ovidsp.ovid.com/ovidweb.cgi?T=JS&amp;NEWS=n&amp;CSC=Y&amp;PAGE=booktext&amp;D=books&amp;SC=01933621&amp;EPUB=Y","https://ovidsp.ovid.com/ovidweb.cgi?T=JS&amp;NEWS=n&amp;CSC=Y&amp;PAGE=booktext&amp;D=books&amp;SC=01933621&amp;EPUB=Y")</f>
        <v>https://ovidsp.ovid.com/ovidweb.cgi?T=JS&amp;NEWS=n&amp;CSC=Y&amp;PAGE=booktext&amp;D=books&amp;SC=01933621&amp;EPUB=Y</v>
      </c>
      <c r="H766" s="8" t="s">
        <v>1795</v>
      </c>
    </row>
    <row r="767" spans="1:8" x14ac:dyDescent="0.3">
      <c r="A767" s="4" t="s">
        <v>1534</v>
      </c>
      <c r="B767" s="5">
        <v>44893</v>
      </c>
      <c r="C767" s="6" t="s">
        <v>1489</v>
      </c>
      <c r="D767" s="6" t="s">
        <v>444</v>
      </c>
      <c r="E767" s="6" t="s">
        <v>2503</v>
      </c>
      <c r="F767" s="6" t="s">
        <v>1208</v>
      </c>
      <c r="G767" s="7" t="str">
        <f>HYPERLINK("https://ovidsp.ovid.com/ovidweb.cgi?T=JS&amp;NEWS=n&amp;CSC=Y&amp;PAGE=booktext&amp;D=books&amp;SC=01515475&amp;EPUB=Y","https://ovidsp.ovid.com/ovidweb.cgi?T=JS&amp;NEWS=n&amp;CSC=Y&amp;PAGE=booktext&amp;D=books&amp;SC=01515475&amp;EPUB=Y")</f>
        <v>https://ovidsp.ovid.com/ovidweb.cgi?T=JS&amp;NEWS=n&amp;CSC=Y&amp;PAGE=booktext&amp;D=books&amp;SC=01515475&amp;EPUB=Y</v>
      </c>
      <c r="H767" s="8" t="s">
        <v>1795</v>
      </c>
    </row>
    <row r="768" spans="1:8" x14ac:dyDescent="0.3">
      <c r="A768" s="4" t="s">
        <v>848</v>
      </c>
      <c r="B768" s="5">
        <v>44893</v>
      </c>
      <c r="C768" s="6" t="s">
        <v>2367</v>
      </c>
      <c r="D768" s="6" t="s">
        <v>1643</v>
      </c>
      <c r="E768" s="6" t="s">
        <v>2503</v>
      </c>
      <c r="F768" s="6" t="s">
        <v>1208</v>
      </c>
      <c r="G768" s="7" t="str">
        <f>HYPERLINK("https://ovidsp.ovid.com/ovidweb.cgi?T=JS&amp;NEWS=n&amp;CSC=Y&amp;PAGE=booktext&amp;D=books&amp;SC=01434452&amp;EPUB=Y","https://ovidsp.ovid.com/ovidweb.cgi?T=JS&amp;NEWS=n&amp;CSC=Y&amp;PAGE=booktext&amp;D=books&amp;SC=01434452&amp;EPUB=Y")</f>
        <v>https://ovidsp.ovid.com/ovidweb.cgi?T=JS&amp;NEWS=n&amp;CSC=Y&amp;PAGE=booktext&amp;D=books&amp;SC=01434452&amp;EPUB=Y</v>
      </c>
      <c r="H768" s="8" t="s">
        <v>1795</v>
      </c>
    </row>
    <row r="769" spans="1:8" x14ac:dyDescent="0.3">
      <c r="A769" s="4" t="s">
        <v>2545</v>
      </c>
      <c r="B769" s="5">
        <v>44893</v>
      </c>
      <c r="C769" s="6" t="s">
        <v>1199</v>
      </c>
      <c r="D769" s="6" t="s">
        <v>2478</v>
      </c>
      <c r="E769" s="6" t="s">
        <v>2503</v>
      </c>
      <c r="F769" s="6" t="s">
        <v>1208</v>
      </c>
      <c r="G769" s="7" t="str">
        <f>HYPERLINK("https://ovidsp.ovid.com/ovidweb.cgi?T=JS&amp;NEWS=n&amp;CSC=Y&amp;PAGE=booktext&amp;D=books&amp;SC=01434498&amp;EPUB=Y","https://ovidsp.ovid.com/ovidweb.cgi?T=JS&amp;NEWS=n&amp;CSC=Y&amp;PAGE=booktext&amp;D=books&amp;SC=01434498&amp;EPUB=Y")</f>
        <v>https://ovidsp.ovid.com/ovidweb.cgi?T=JS&amp;NEWS=n&amp;CSC=Y&amp;PAGE=booktext&amp;D=books&amp;SC=01434498&amp;EPUB=Y</v>
      </c>
      <c r="H769" s="8" t="s">
        <v>1795</v>
      </c>
    </row>
    <row r="770" spans="1:8" x14ac:dyDescent="0.3">
      <c r="A770" s="4" t="s">
        <v>1232</v>
      </c>
      <c r="B770" s="5">
        <v>44893</v>
      </c>
      <c r="C770" s="6" t="s">
        <v>2196</v>
      </c>
      <c r="D770" s="6" t="s">
        <v>1352</v>
      </c>
      <c r="E770" s="6" t="s">
        <v>2503</v>
      </c>
      <c r="F770" s="6" t="s">
        <v>1208</v>
      </c>
      <c r="G770" s="7" t="str">
        <f>HYPERLINK("https://ovidsp.ovid.com/ovidweb.cgi?T=JS&amp;NEWS=n&amp;CSC=Y&amp;PAGE=booktext&amp;D=books&amp;SC=02227864&amp;EPUB=Y","https://ovidsp.ovid.com/ovidweb.cgi?T=JS&amp;NEWS=n&amp;CSC=Y&amp;PAGE=booktext&amp;D=books&amp;SC=02227864&amp;EPUB=Y")</f>
        <v>https://ovidsp.ovid.com/ovidweb.cgi?T=JS&amp;NEWS=n&amp;CSC=Y&amp;PAGE=booktext&amp;D=books&amp;SC=02227864&amp;EPUB=Y</v>
      </c>
      <c r="H770" s="8" t="s">
        <v>1795</v>
      </c>
    </row>
    <row r="771" spans="1:8" x14ac:dyDescent="0.3">
      <c r="A771" s="4" t="s">
        <v>1297</v>
      </c>
      <c r="B771" s="5">
        <v>44893</v>
      </c>
      <c r="C771" s="6" t="s">
        <v>1793</v>
      </c>
      <c r="D771" s="6" t="s">
        <v>1853</v>
      </c>
      <c r="E771" s="6" t="s">
        <v>2503</v>
      </c>
      <c r="F771" s="6" t="s">
        <v>1208</v>
      </c>
      <c r="G771" s="7" t="str">
        <f>HYPERLINK("https://ovidsp.ovid.com/ovidweb.cgi?T=JS&amp;NEWS=n&amp;CSC=Y&amp;PAGE=booktext&amp;D=books&amp;SC=01787375&amp;EPUB=Y","https://ovidsp.ovid.com/ovidweb.cgi?T=JS&amp;NEWS=n&amp;CSC=Y&amp;PAGE=booktext&amp;D=books&amp;SC=01787375&amp;EPUB=Y")</f>
        <v>https://ovidsp.ovid.com/ovidweb.cgi?T=JS&amp;NEWS=n&amp;CSC=Y&amp;PAGE=booktext&amp;D=books&amp;SC=01787375&amp;EPUB=Y</v>
      </c>
      <c r="H771" s="8" t="s">
        <v>1795</v>
      </c>
    </row>
    <row r="772" spans="1:8" x14ac:dyDescent="0.3">
      <c r="A772" s="4" t="s">
        <v>1568</v>
      </c>
      <c r="B772" s="5">
        <v>44893</v>
      </c>
      <c r="C772" s="6" t="s">
        <v>2367</v>
      </c>
      <c r="D772" s="6" t="s">
        <v>1643</v>
      </c>
      <c r="E772" s="6" t="s">
        <v>2503</v>
      </c>
      <c r="F772" s="6" t="s">
        <v>1208</v>
      </c>
      <c r="G772" s="7" t="str">
        <f>HYPERLINK("https://ovidsp.ovid.com/ovidweb.cgi?T=JS&amp;NEWS=n&amp;CSC=Y&amp;PAGE=booktext&amp;D=books&amp;SC=01434457&amp;EPUB=Y","https://ovidsp.ovid.com/ovidweb.cgi?T=JS&amp;NEWS=n&amp;CSC=Y&amp;PAGE=booktext&amp;D=books&amp;SC=01434457&amp;EPUB=Y")</f>
        <v>https://ovidsp.ovid.com/ovidweb.cgi?T=JS&amp;NEWS=n&amp;CSC=Y&amp;PAGE=booktext&amp;D=books&amp;SC=01434457&amp;EPUB=Y</v>
      </c>
      <c r="H772" s="8" t="s">
        <v>1795</v>
      </c>
    </row>
    <row r="773" spans="1:8" x14ac:dyDescent="0.3">
      <c r="A773" s="4" t="s">
        <v>688</v>
      </c>
      <c r="B773" s="5">
        <v>44893</v>
      </c>
      <c r="C773" s="6" t="s">
        <v>457</v>
      </c>
      <c r="D773" s="6" t="s">
        <v>1437</v>
      </c>
      <c r="E773" s="6" t="s">
        <v>2503</v>
      </c>
      <c r="F773" s="6" t="s">
        <v>1208</v>
      </c>
      <c r="G773" s="7" t="str">
        <f>HYPERLINK("https://ovidsp.ovid.com/ovidweb.cgi?T=JS&amp;NEWS=n&amp;CSC=Y&amp;PAGE=booktext&amp;D=books&amp;SC=01929397&amp;EPUB=Y","https://ovidsp.ovid.com/ovidweb.cgi?T=JS&amp;NEWS=n&amp;CSC=Y&amp;PAGE=booktext&amp;D=books&amp;SC=01929397&amp;EPUB=Y")</f>
        <v>https://ovidsp.ovid.com/ovidweb.cgi?T=JS&amp;NEWS=n&amp;CSC=Y&amp;PAGE=booktext&amp;D=books&amp;SC=01929397&amp;EPUB=Y</v>
      </c>
      <c r="H773" s="8" t="s">
        <v>1795</v>
      </c>
    </row>
    <row r="774" spans="1:8" x14ac:dyDescent="0.3">
      <c r="A774" s="4" t="s">
        <v>2201</v>
      </c>
      <c r="B774" s="5">
        <v>44893</v>
      </c>
      <c r="C774" s="6" t="s">
        <v>1006</v>
      </c>
      <c r="D774" s="6" t="s">
        <v>2051</v>
      </c>
      <c r="E774" s="6" t="s">
        <v>2503</v>
      </c>
      <c r="F774" s="6" t="s">
        <v>1208</v>
      </c>
      <c r="G774" s="7" t="str">
        <f>HYPERLINK("https://ovidsp.ovid.com/ovidweb.cgi?T=JS&amp;NEWS=n&amp;CSC=Y&amp;PAGE=booktext&amp;D=books&amp;SC=01845233&amp;EPUB=Y","https://ovidsp.ovid.com/ovidweb.cgi?T=JS&amp;NEWS=n&amp;CSC=Y&amp;PAGE=booktext&amp;D=books&amp;SC=01845233&amp;EPUB=Y")</f>
        <v>https://ovidsp.ovid.com/ovidweb.cgi?T=JS&amp;NEWS=n&amp;CSC=Y&amp;PAGE=booktext&amp;D=books&amp;SC=01845233&amp;EPUB=Y</v>
      </c>
      <c r="H774" s="8" t="s">
        <v>1795</v>
      </c>
    </row>
    <row r="775" spans="1:8" x14ac:dyDescent="0.3">
      <c r="A775" s="4" t="s">
        <v>2380</v>
      </c>
      <c r="B775" s="5">
        <v>44893</v>
      </c>
      <c r="C775" s="6" t="s">
        <v>260</v>
      </c>
      <c r="D775" s="6" t="s">
        <v>1413</v>
      </c>
      <c r="E775" s="6" t="s">
        <v>2503</v>
      </c>
      <c r="F775" s="6" t="s">
        <v>1208</v>
      </c>
      <c r="G775" s="7" t="str">
        <f>HYPERLINK("https://ovidsp.ovid.com/ovidweb.cgi?T=JS&amp;NEWS=n&amp;CSC=Y&amp;PAGE=booktext&amp;D=books&amp;SC=01434651&amp;EPUB=Y","https://ovidsp.ovid.com/ovidweb.cgi?T=JS&amp;NEWS=n&amp;CSC=Y&amp;PAGE=booktext&amp;D=books&amp;SC=01434651&amp;EPUB=Y")</f>
        <v>https://ovidsp.ovid.com/ovidweb.cgi?T=JS&amp;NEWS=n&amp;CSC=Y&amp;PAGE=booktext&amp;D=books&amp;SC=01434651&amp;EPUB=Y</v>
      </c>
      <c r="H775" s="8" t="s">
        <v>1795</v>
      </c>
    </row>
    <row r="776" spans="1:8" x14ac:dyDescent="0.3">
      <c r="A776" s="4" t="s">
        <v>1710</v>
      </c>
      <c r="B776" s="5">
        <v>44893</v>
      </c>
      <c r="C776" s="6" t="s">
        <v>259</v>
      </c>
      <c r="D776" s="6" t="s">
        <v>358</v>
      </c>
      <c r="E776" s="6" t="s">
        <v>2503</v>
      </c>
      <c r="F776" s="6" t="s">
        <v>1208</v>
      </c>
      <c r="G776" s="7" t="str">
        <f>HYPERLINK("https://ovidsp.ovid.com/ovidweb.cgi?T=JS&amp;NEWS=n&amp;CSC=Y&amp;PAGE=booktext&amp;D=books&amp;SC=01768413&amp;EPUB=Y","https://ovidsp.ovid.com/ovidweb.cgi?T=JS&amp;NEWS=n&amp;CSC=Y&amp;PAGE=booktext&amp;D=books&amp;SC=01768413&amp;EPUB=Y")</f>
        <v>https://ovidsp.ovid.com/ovidweb.cgi?T=JS&amp;NEWS=n&amp;CSC=Y&amp;PAGE=booktext&amp;D=books&amp;SC=01768413&amp;EPUB=Y</v>
      </c>
      <c r="H776" s="8" t="s">
        <v>1795</v>
      </c>
    </row>
    <row r="777" spans="1:8" x14ac:dyDescent="0.3">
      <c r="A777" s="4" t="s">
        <v>1697</v>
      </c>
      <c r="B777" s="5">
        <v>44893</v>
      </c>
      <c r="C777" s="6" t="s">
        <v>985</v>
      </c>
      <c r="D777" s="6" t="s">
        <v>1532</v>
      </c>
      <c r="E777" s="6" t="s">
        <v>2503</v>
      </c>
      <c r="F777" s="6" t="s">
        <v>1208</v>
      </c>
      <c r="G777" s="7" t="str">
        <f>HYPERLINK("https://ovidsp.ovid.com/ovidweb.cgi?T=JS&amp;NEWS=n&amp;CSC=Y&amp;PAGE=booktext&amp;D=books&amp;SC=02134352&amp;EPUB=Y","https://ovidsp.ovid.com/ovidweb.cgi?T=JS&amp;NEWS=n&amp;CSC=Y&amp;PAGE=booktext&amp;D=books&amp;SC=02134352&amp;EPUB=Y")</f>
        <v>https://ovidsp.ovid.com/ovidweb.cgi?T=JS&amp;NEWS=n&amp;CSC=Y&amp;PAGE=booktext&amp;D=books&amp;SC=02134352&amp;EPUB=Y</v>
      </c>
      <c r="H777" s="8" t="s">
        <v>1795</v>
      </c>
    </row>
    <row r="778" spans="1:8" x14ac:dyDescent="0.3">
      <c r="A778" s="4" t="s">
        <v>1013</v>
      </c>
      <c r="B778" s="5">
        <v>44893</v>
      </c>
      <c r="C778" s="6" t="s">
        <v>2367</v>
      </c>
      <c r="D778" s="6" t="s">
        <v>1643</v>
      </c>
      <c r="E778" s="6" t="s">
        <v>2503</v>
      </c>
      <c r="F778" s="6" t="s">
        <v>1208</v>
      </c>
      <c r="G778" s="7" t="str">
        <f>HYPERLINK("https://ovidsp.ovid.com/ovidweb.cgi?T=JS&amp;NEWS=n&amp;CSC=Y&amp;PAGE=booktext&amp;D=books&amp;SC=01434370&amp;EPUB=Y","https://ovidsp.ovid.com/ovidweb.cgi?T=JS&amp;NEWS=n&amp;CSC=Y&amp;PAGE=booktext&amp;D=books&amp;SC=01434370&amp;EPUB=Y")</f>
        <v>https://ovidsp.ovid.com/ovidweb.cgi?T=JS&amp;NEWS=n&amp;CSC=Y&amp;PAGE=booktext&amp;D=books&amp;SC=01434370&amp;EPUB=Y</v>
      </c>
      <c r="H778" s="8" t="s">
        <v>1795</v>
      </c>
    </row>
    <row r="779" spans="1:8" x14ac:dyDescent="0.3">
      <c r="A779" s="4" t="s">
        <v>156</v>
      </c>
      <c r="B779" s="5">
        <v>44893</v>
      </c>
      <c r="C779" s="6" t="s">
        <v>2367</v>
      </c>
      <c r="D779" s="6" t="s">
        <v>1643</v>
      </c>
      <c r="E779" s="6" t="s">
        <v>2503</v>
      </c>
      <c r="F779" s="6" t="s">
        <v>1208</v>
      </c>
      <c r="G779" s="7" t="str">
        <f>HYPERLINK("https://ovidsp.ovid.com/ovidweb.cgi?T=JS&amp;NEWS=n&amp;CSC=Y&amp;PAGE=booktext&amp;D=books&amp;SC=01434423&amp;EPUB=Y","https://ovidsp.ovid.com/ovidweb.cgi?T=JS&amp;NEWS=n&amp;CSC=Y&amp;PAGE=booktext&amp;D=books&amp;SC=01434423&amp;EPUB=Y")</f>
        <v>https://ovidsp.ovid.com/ovidweb.cgi?T=JS&amp;NEWS=n&amp;CSC=Y&amp;PAGE=booktext&amp;D=books&amp;SC=01434423&amp;EPUB=Y</v>
      </c>
      <c r="H779" s="8" t="s">
        <v>1795</v>
      </c>
    </row>
    <row r="780" spans="1:8" x14ac:dyDescent="0.3">
      <c r="A780" s="4" t="s">
        <v>220</v>
      </c>
      <c r="B780" s="5">
        <v>44893</v>
      </c>
      <c r="C780" s="6" t="s">
        <v>1556</v>
      </c>
      <c r="D780" s="6" t="s">
        <v>296</v>
      </c>
      <c r="E780" s="6" t="s">
        <v>2503</v>
      </c>
      <c r="F780" s="6" t="s">
        <v>1208</v>
      </c>
      <c r="G780" s="7" t="str">
        <f>HYPERLINK("https://ovidsp.ovid.com/ovidweb.cgi?T=JS&amp;NEWS=n&amp;CSC=Y&amp;PAGE=booktext&amp;D=books&amp;SC=02272520&amp;EPUB=Y","https://ovidsp.ovid.com/ovidweb.cgi?T=JS&amp;NEWS=n&amp;CSC=Y&amp;PAGE=booktext&amp;D=books&amp;SC=02272520&amp;EPUB=Y")</f>
        <v>https://ovidsp.ovid.com/ovidweb.cgi?T=JS&amp;NEWS=n&amp;CSC=Y&amp;PAGE=booktext&amp;D=books&amp;SC=02272520&amp;EPUB=Y</v>
      </c>
      <c r="H780" s="8" t="s">
        <v>1795</v>
      </c>
    </row>
    <row r="781" spans="1:8" x14ac:dyDescent="0.3">
      <c r="A781" s="4" t="s">
        <v>1682</v>
      </c>
      <c r="B781" s="5">
        <v>44893</v>
      </c>
      <c r="C781" s="6" t="s">
        <v>1959</v>
      </c>
      <c r="D781" s="6" t="s">
        <v>1789</v>
      </c>
      <c r="E781" s="6" t="s">
        <v>2503</v>
      </c>
      <c r="F781" s="6" t="s">
        <v>241</v>
      </c>
      <c r="G781" s="7" t="str">
        <f>HYPERLINK("https://ovidsp.ovid.com/ovidweb.cgi?T=JS&amp;NEWS=n&amp;CSC=Y&amp;PAGE=booktext&amp;D=books&amp;SC=01434622&amp;EPUB=Y","https://ovidsp.ovid.com/ovidweb.cgi?T=JS&amp;NEWS=n&amp;CSC=Y&amp;PAGE=booktext&amp;D=books&amp;SC=01434622&amp;EPUB=Y")</f>
        <v>https://ovidsp.ovid.com/ovidweb.cgi?T=JS&amp;NEWS=n&amp;CSC=Y&amp;PAGE=booktext&amp;D=books&amp;SC=01434622&amp;EPUB=Y</v>
      </c>
      <c r="H781" s="8" t="s">
        <v>1795</v>
      </c>
    </row>
    <row r="782" spans="1:8" x14ac:dyDescent="0.3">
      <c r="A782" s="4" t="s">
        <v>1274</v>
      </c>
      <c r="B782" s="5">
        <v>44893</v>
      </c>
      <c r="C782" s="6" t="s">
        <v>1355</v>
      </c>
      <c r="D782" s="6" t="s">
        <v>614</v>
      </c>
      <c r="E782" s="6" t="s">
        <v>2503</v>
      </c>
      <c r="F782" s="6" t="s">
        <v>241</v>
      </c>
      <c r="G782" s="7" t="str">
        <f>HYPERLINK("https://ovidsp.ovid.com/ovidweb.cgi?T=JS&amp;NEWS=n&amp;CSC=Y&amp;PAGE=booktext&amp;D=books&amp;SC=02272605&amp;EPUB=Y","https://ovidsp.ovid.com/ovidweb.cgi?T=JS&amp;NEWS=n&amp;CSC=Y&amp;PAGE=booktext&amp;D=books&amp;SC=02272605&amp;EPUB=Y")</f>
        <v>https://ovidsp.ovid.com/ovidweb.cgi?T=JS&amp;NEWS=n&amp;CSC=Y&amp;PAGE=booktext&amp;D=books&amp;SC=02272605&amp;EPUB=Y</v>
      </c>
      <c r="H782" s="8" t="s">
        <v>1795</v>
      </c>
    </row>
    <row r="783" spans="1:8" x14ac:dyDescent="0.3">
      <c r="A783" s="4" t="s">
        <v>1274</v>
      </c>
      <c r="B783" s="5">
        <v>44893</v>
      </c>
      <c r="C783" s="6" t="s">
        <v>753</v>
      </c>
      <c r="D783" s="6" t="s">
        <v>121</v>
      </c>
      <c r="E783" s="6" t="s">
        <v>2503</v>
      </c>
      <c r="F783" s="6" t="s">
        <v>1208</v>
      </c>
      <c r="G783" s="7" t="str">
        <f>HYPERLINK("https://ovidsp.ovid.com/ovidweb.cgi?T=JS&amp;NEWS=n&amp;CSC=Y&amp;PAGE=booktext&amp;D=books&amp;SC=01906641&amp;EPUB=Y","https://ovidsp.ovid.com/ovidweb.cgi?T=JS&amp;NEWS=n&amp;CSC=Y&amp;PAGE=booktext&amp;D=books&amp;SC=01906641&amp;EPUB=Y")</f>
        <v>https://ovidsp.ovid.com/ovidweb.cgi?T=JS&amp;NEWS=n&amp;CSC=Y&amp;PAGE=booktext&amp;D=books&amp;SC=01906641&amp;EPUB=Y</v>
      </c>
      <c r="H783" s="8" t="s">
        <v>1795</v>
      </c>
    </row>
    <row r="784" spans="1:8" x14ac:dyDescent="0.3">
      <c r="A784" s="4" t="s">
        <v>1062</v>
      </c>
      <c r="B784" s="5">
        <v>44893</v>
      </c>
      <c r="C784" s="6" t="s">
        <v>165</v>
      </c>
      <c r="D784" s="6" t="s">
        <v>607</v>
      </c>
      <c r="E784" s="6" t="s">
        <v>2503</v>
      </c>
      <c r="F784" s="6" t="s">
        <v>1208</v>
      </c>
      <c r="G784" s="7" t="str">
        <f>HYPERLINK("https://ovidsp.ovid.com/ovidweb.cgi?T=JS&amp;NEWS=n&amp;CSC=Y&amp;PAGE=booktext&amp;D=books&amp;SC=02091933&amp;EPUB=Y","https://ovidsp.ovid.com/ovidweb.cgi?T=JS&amp;NEWS=n&amp;CSC=Y&amp;PAGE=booktext&amp;D=books&amp;SC=02091933&amp;EPUB=Y")</f>
        <v>https://ovidsp.ovid.com/ovidweb.cgi?T=JS&amp;NEWS=n&amp;CSC=Y&amp;PAGE=booktext&amp;D=books&amp;SC=02091933&amp;EPUB=Y</v>
      </c>
      <c r="H784" s="8" t="s">
        <v>1795</v>
      </c>
    </row>
    <row r="785" spans="1:8" x14ac:dyDescent="0.3">
      <c r="A785" s="4" t="s">
        <v>2268</v>
      </c>
      <c r="B785" s="5">
        <v>44893</v>
      </c>
      <c r="C785" s="6" t="s">
        <v>1082</v>
      </c>
      <c r="D785" s="6" t="s">
        <v>1106</v>
      </c>
      <c r="E785" s="6" t="s">
        <v>2503</v>
      </c>
      <c r="F785" s="6" t="s">
        <v>1208</v>
      </c>
      <c r="G785" s="7" t="str">
        <f>HYPERLINK("https://ovidsp.ovid.com/ovidweb.cgi?T=JS&amp;NEWS=n&amp;CSC=Y&amp;PAGE=booktext&amp;D=books&amp;SC=01960902&amp;EPUB=Y","https://ovidsp.ovid.com/ovidweb.cgi?T=JS&amp;NEWS=n&amp;CSC=Y&amp;PAGE=booktext&amp;D=books&amp;SC=01960902&amp;EPUB=Y")</f>
        <v>https://ovidsp.ovid.com/ovidweb.cgi?T=JS&amp;NEWS=n&amp;CSC=Y&amp;PAGE=booktext&amp;D=books&amp;SC=01960902&amp;EPUB=Y</v>
      </c>
      <c r="H785" s="8" t="s">
        <v>1795</v>
      </c>
    </row>
    <row r="786" spans="1:8" x14ac:dyDescent="0.3">
      <c r="A786" s="4" t="s">
        <v>110</v>
      </c>
      <c r="B786" s="5">
        <v>44893</v>
      </c>
      <c r="C786" s="6" t="s">
        <v>689</v>
      </c>
      <c r="D786" s="6" t="s">
        <v>1451</v>
      </c>
      <c r="E786" s="6" t="s">
        <v>2503</v>
      </c>
      <c r="F786" s="6" t="s">
        <v>241</v>
      </c>
      <c r="G786" s="7" t="str">
        <f>HYPERLINK("https://ovidsp.ovid.com/ovidweb.cgi?T=JS&amp;NEWS=n&amp;CSC=Y&amp;PAGE=booktext&amp;D=books&amp;SC=01990642&amp;EPUB=Y","https://ovidsp.ovid.com/ovidweb.cgi?T=JS&amp;NEWS=n&amp;CSC=Y&amp;PAGE=booktext&amp;D=books&amp;SC=01990642&amp;EPUB=Y")</f>
        <v>https://ovidsp.ovid.com/ovidweb.cgi?T=JS&amp;NEWS=n&amp;CSC=Y&amp;PAGE=booktext&amp;D=books&amp;SC=01990642&amp;EPUB=Y</v>
      </c>
      <c r="H786" s="8" t="s">
        <v>1795</v>
      </c>
    </row>
    <row r="787" spans="1:8" x14ac:dyDescent="0.3">
      <c r="A787" s="4" t="s">
        <v>896</v>
      </c>
      <c r="B787" s="5">
        <v>44893</v>
      </c>
      <c r="C787" s="6" t="s">
        <v>2367</v>
      </c>
      <c r="D787" s="6" t="s">
        <v>1643</v>
      </c>
      <c r="E787" s="6" t="s">
        <v>2503</v>
      </c>
      <c r="F787" s="6" t="s">
        <v>1208</v>
      </c>
      <c r="G787" s="7" t="str">
        <f>HYPERLINK("https://ovidsp.ovid.com/ovidweb.cgi?T=JS&amp;NEWS=n&amp;CSC=Y&amp;PAGE=booktext&amp;D=books&amp;SC=01434426&amp;EPUB=Y","https://ovidsp.ovid.com/ovidweb.cgi?T=JS&amp;NEWS=n&amp;CSC=Y&amp;PAGE=booktext&amp;D=books&amp;SC=01434426&amp;EPUB=Y")</f>
        <v>https://ovidsp.ovid.com/ovidweb.cgi?T=JS&amp;NEWS=n&amp;CSC=Y&amp;PAGE=booktext&amp;D=books&amp;SC=01434426&amp;EPUB=Y</v>
      </c>
      <c r="H787" s="8" t="s">
        <v>1795</v>
      </c>
    </row>
    <row r="788" spans="1:8" x14ac:dyDescent="0.3">
      <c r="A788" s="4" t="s">
        <v>705</v>
      </c>
      <c r="B788" s="5">
        <v>44893</v>
      </c>
      <c r="C788" s="6" t="s">
        <v>2367</v>
      </c>
      <c r="D788" s="6" t="s">
        <v>1643</v>
      </c>
      <c r="E788" s="6" t="s">
        <v>2503</v>
      </c>
      <c r="F788" s="6" t="s">
        <v>1208</v>
      </c>
      <c r="G788" s="7" t="str">
        <f>HYPERLINK("https://ovidsp.ovid.com/ovidweb.cgi?T=JS&amp;NEWS=n&amp;CSC=Y&amp;PAGE=booktext&amp;D=books&amp;SC=01434315&amp;EPUB=Y","https://ovidsp.ovid.com/ovidweb.cgi?T=JS&amp;NEWS=n&amp;CSC=Y&amp;PAGE=booktext&amp;D=books&amp;SC=01434315&amp;EPUB=Y")</f>
        <v>https://ovidsp.ovid.com/ovidweb.cgi?T=JS&amp;NEWS=n&amp;CSC=Y&amp;PAGE=booktext&amp;D=books&amp;SC=01434315&amp;EPUB=Y</v>
      </c>
      <c r="H788" s="8" t="s">
        <v>1795</v>
      </c>
    </row>
    <row r="789" spans="1:8" x14ac:dyDescent="0.3">
      <c r="A789" s="4" t="s">
        <v>5</v>
      </c>
      <c r="B789" s="5">
        <v>44893</v>
      </c>
      <c r="C789" s="6" t="s">
        <v>1477</v>
      </c>
      <c r="D789" s="6" t="s">
        <v>2451</v>
      </c>
      <c r="E789" s="6" t="s">
        <v>2503</v>
      </c>
      <c r="F789" s="6" t="s">
        <v>1208</v>
      </c>
      <c r="G789" s="7" t="str">
        <f>HYPERLINK("https://ovidsp.ovid.com/ovidweb.cgi?T=JS&amp;NEWS=n&amp;CSC=Y&amp;PAGE=booktext&amp;D=books&amp;SC=02272664&amp;EPUB=Y","https://ovidsp.ovid.com/ovidweb.cgi?T=JS&amp;NEWS=n&amp;CSC=Y&amp;PAGE=booktext&amp;D=books&amp;SC=02272664&amp;EPUB=Y")</f>
        <v>https://ovidsp.ovid.com/ovidweb.cgi?T=JS&amp;NEWS=n&amp;CSC=Y&amp;PAGE=booktext&amp;D=books&amp;SC=02272664&amp;EPUB=Y</v>
      </c>
      <c r="H789" s="8" t="s">
        <v>1795</v>
      </c>
    </row>
    <row r="790" spans="1:8" x14ac:dyDescent="0.3">
      <c r="A790" s="4" t="s">
        <v>1731</v>
      </c>
      <c r="B790" s="5">
        <v>44893</v>
      </c>
      <c r="C790" s="6" t="s">
        <v>2367</v>
      </c>
      <c r="D790" s="6" t="s">
        <v>1643</v>
      </c>
      <c r="E790" s="6" t="s">
        <v>2503</v>
      </c>
      <c r="F790" s="6" t="s">
        <v>1208</v>
      </c>
      <c r="G790" s="7" t="str">
        <f>HYPERLINK("https://ovidsp.ovid.com/ovidweb.cgi?T=JS&amp;NEWS=n&amp;CSC=Y&amp;PAGE=booktext&amp;D=books&amp;SC=01434225&amp;EPUB=Y","https://ovidsp.ovid.com/ovidweb.cgi?T=JS&amp;NEWS=n&amp;CSC=Y&amp;PAGE=booktext&amp;D=books&amp;SC=01434225&amp;EPUB=Y")</f>
        <v>https://ovidsp.ovid.com/ovidweb.cgi?T=JS&amp;NEWS=n&amp;CSC=Y&amp;PAGE=booktext&amp;D=books&amp;SC=01434225&amp;EPUB=Y</v>
      </c>
      <c r="H790" s="8" t="s">
        <v>1795</v>
      </c>
    </row>
    <row r="791" spans="1:8" x14ac:dyDescent="0.3">
      <c r="A791" s="4" t="s">
        <v>495</v>
      </c>
      <c r="B791" s="5">
        <v>44893</v>
      </c>
      <c r="C791" s="6" t="s">
        <v>1406</v>
      </c>
      <c r="D791" s="6" t="s">
        <v>2557</v>
      </c>
      <c r="E791" s="6" t="s">
        <v>2503</v>
      </c>
      <c r="F791" s="6" t="s">
        <v>1208</v>
      </c>
      <c r="G791" s="7" t="str">
        <f>HYPERLINK("https://ovidsp.ovid.com/ovidweb.cgi?T=JS&amp;NEWS=n&amp;CSC=Y&amp;PAGE=booktext&amp;D=books&amp;SC=01434965&amp;EPUB=Y","https://ovidsp.ovid.com/ovidweb.cgi?T=JS&amp;NEWS=n&amp;CSC=Y&amp;PAGE=booktext&amp;D=books&amp;SC=01434965&amp;EPUB=Y")</f>
        <v>https://ovidsp.ovid.com/ovidweb.cgi?T=JS&amp;NEWS=n&amp;CSC=Y&amp;PAGE=booktext&amp;D=books&amp;SC=01434965&amp;EPUB=Y</v>
      </c>
      <c r="H791" s="8" t="s">
        <v>1795</v>
      </c>
    </row>
    <row r="792" spans="1:8" x14ac:dyDescent="0.3">
      <c r="A792" s="4" t="s">
        <v>743</v>
      </c>
      <c r="B792" s="5">
        <v>44893</v>
      </c>
      <c r="C792" s="6" t="s">
        <v>2172</v>
      </c>
      <c r="D792" s="6" t="s">
        <v>2235</v>
      </c>
      <c r="E792" s="6" t="s">
        <v>2503</v>
      </c>
      <c r="F792" s="6" t="s">
        <v>1208</v>
      </c>
      <c r="G792" s="7" t="str">
        <f>HYPERLINK("https://ovidsp.ovid.com/ovidweb.cgi?T=JS&amp;NEWS=n&amp;CSC=Y&amp;PAGE=booktext&amp;D=books&amp;SC=02148822&amp;EPUB=Y","https://ovidsp.ovid.com/ovidweb.cgi?T=JS&amp;NEWS=n&amp;CSC=Y&amp;PAGE=booktext&amp;D=books&amp;SC=02148822&amp;EPUB=Y")</f>
        <v>https://ovidsp.ovid.com/ovidweb.cgi?T=JS&amp;NEWS=n&amp;CSC=Y&amp;PAGE=booktext&amp;D=books&amp;SC=02148822&amp;EPUB=Y</v>
      </c>
      <c r="H792" s="8" t="s">
        <v>1795</v>
      </c>
    </row>
    <row r="793" spans="1:8" x14ac:dyDescent="0.3">
      <c r="A793" s="4" t="s">
        <v>960</v>
      </c>
      <c r="B793" s="5">
        <v>44893</v>
      </c>
      <c r="C793" s="6" t="s">
        <v>2284</v>
      </c>
      <c r="D793" s="6" t="s">
        <v>890</v>
      </c>
      <c r="E793" s="6" t="s">
        <v>2503</v>
      </c>
      <c r="F793" s="6" t="s">
        <v>1208</v>
      </c>
      <c r="G793" s="7" t="str">
        <f>HYPERLINK("https://ovidsp.ovid.com/ovidweb.cgi?T=JS&amp;NEWS=n&amp;CSC=Y&amp;PAGE=booktext&amp;D=books&amp;SC=02045097&amp;EPUB=Y","https://ovidsp.ovid.com/ovidweb.cgi?T=JS&amp;NEWS=n&amp;CSC=Y&amp;PAGE=booktext&amp;D=books&amp;SC=02045097&amp;EPUB=Y")</f>
        <v>https://ovidsp.ovid.com/ovidweb.cgi?T=JS&amp;NEWS=n&amp;CSC=Y&amp;PAGE=booktext&amp;D=books&amp;SC=02045097&amp;EPUB=Y</v>
      </c>
      <c r="H793" s="8" t="s">
        <v>1795</v>
      </c>
    </row>
    <row r="794" spans="1:8" x14ac:dyDescent="0.3">
      <c r="A794" s="4" t="s">
        <v>1188</v>
      </c>
      <c r="B794" s="5">
        <v>44893</v>
      </c>
      <c r="C794" s="6" t="s">
        <v>1241</v>
      </c>
      <c r="D794" s="6" t="s">
        <v>427</v>
      </c>
      <c r="E794" s="6" t="s">
        <v>2503</v>
      </c>
      <c r="F794" s="6" t="s">
        <v>1208</v>
      </c>
      <c r="G794" s="7" t="str">
        <f>HYPERLINK("https://ovidsp.ovid.com/ovidweb.cgi?T=JS&amp;NEWS=n&amp;CSC=Y&amp;PAGE=booktext&amp;D=books&amp;SC=01434640&amp;EPUB=Y","https://ovidsp.ovid.com/ovidweb.cgi?T=JS&amp;NEWS=n&amp;CSC=Y&amp;PAGE=booktext&amp;D=books&amp;SC=01434640&amp;EPUB=Y")</f>
        <v>https://ovidsp.ovid.com/ovidweb.cgi?T=JS&amp;NEWS=n&amp;CSC=Y&amp;PAGE=booktext&amp;D=books&amp;SC=01434640&amp;EPUB=Y</v>
      </c>
      <c r="H794" s="8" t="s">
        <v>1795</v>
      </c>
    </row>
    <row r="795" spans="1:8" x14ac:dyDescent="0.3">
      <c r="A795" s="4" t="s">
        <v>1307</v>
      </c>
      <c r="B795" s="5">
        <v>44893</v>
      </c>
      <c r="C795" s="6" t="s">
        <v>796</v>
      </c>
      <c r="D795" s="6" t="s">
        <v>1622</v>
      </c>
      <c r="E795" s="6" t="s">
        <v>2503</v>
      </c>
      <c r="F795" s="6" t="s">
        <v>1208</v>
      </c>
      <c r="G795" s="7" t="str">
        <f>HYPERLINK("https://ovidsp.ovid.com/ovidweb.cgi?T=JS&amp;NEWS=n&amp;CSC=Y&amp;PAGE=booktext&amp;D=books&amp;SC=01703958&amp;EPUB=Y","https://ovidsp.ovid.com/ovidweb.cgi?T=JS&amp;NEWS=n&amp;CSC=Y&amp;PAGE=booktext&amp;D=books&amp;SC=01703958&amp;EPUB=Y")</f>
        <v>https://ovidsp.ovid.com/ovidweb.cgi?T=JS&amp;NEWS=n&amp;CSC=Y&amp;PAGE=booktext&amp;D=books&amp;SC=01703958&amp;EPUB=Y</v>
      </c>
      <c r="H795" s="8" t="s">
        <v>1795</v>
      </c>
    </row>
    <row r="796" spans="1:8" x14ac:dyDescent="0.3">
      <c r="A796" s="4" t="s">
        <v>70</v>
      </c>
      <c r="B796" s="5">
        <v>44893</v>
      </c>
      <c r="C796" s="6" t="s">
        <v>219</v>
      </c>
      <c r="D796" s="6" t="s">
        <v>780</v>
      </c>
      <c r="E796" s="6" t="s">
        <v>2503</v>
      </c>
      <c r="F796" s="6" t="s">
        <v>1208</v>
      </c>
      <c r="G796" s="7" t="str">
        <f>HYPERLINK("https://ovidsp.ovid.com/ovidweb.cgi?T=JS&amp;NEWS=n&amp;CSC=Y&amp;PAGE=booktext&amp;D=books&amp;SC=02186177&amp;EPUB=Y","https://ovidsp.ovid.com/ovidweb.cgi?T=JS&amp;NEWS=n&amp;CSC=Y&amp;PAGE=booktext&amp;D=books&amp;SC=02186177&amp;EPUB=Y")</f>
        <v>https://ovidsp.ovid.com/ovidweb.cgi?T=JS&amp;NEWS=n&amp;CSC=Y&amp;PAGE=booktext&amp;D=books&amp;SC=02186177&amp;EPUB=Y</v>
      </c>
      <c r="H796" s="8" t="s">
        <v>1795</v>
      </c>
    </row>
    <row r="797" spans="1:8" x14ac:dyDescent="0.3">
      <c r="A797" s="4" t="s">
        <v>1170</v>
      </c>
      <c r="B797" s="5">
        <v>44893</v>
      </c>
      <c r="C797" s="6" t="s">
        <v>531</v>
      </c>
      <c r="D797" s="6" t="s">
        <v>2580</v>
      </c>
      <c r="E797" s="6" t="s">
        <v>2503</v>
      </c>
      <c r="F797" s="6" t="s">
        <v>1208</v>
      </c>
      <c r="G797" s="7" t="str">
        <f>HYPERLINK("https://ovidsp.ovid.com/ovidweb.cgi?T=JS&amp;NEWS=n&amp;CSC=Y&amp;PAGE=booktext&amp;D=books&amp;SC=01787203&amp;EPUB=Y","https://ovidsp.ovid.com/ovidweb.cgi?T=JS&amp;NEWS=n&amp;CSC=Y&amp;PAGE=booktext&amp;D=books&amp;SC=01787203&amp;EPUB=Y")</f>
        <v>https://ovidsp.ovid.com/ovidweb.cgi?T=JS&amp;NEWS=n&amp;CSC=Y&amp;PAGE=booktext&amp;D=books&amp;SC=01787203&amp;EPUB=Y</v>
      </c>
      <c r="H797" s="8" t="s">
        <v>1795</v>
      </c>
    </row>
    <row r="798" spans="1:8" x14ac:dyDescent="0.3">
      <c r="A798" s="4" t="s">
        <v>654</v>
      </c>
      <c r="B798" s="5">
        <v>44893</v>
      </c>
      <c r="C798" s="6" t="s">
        <v>1810</v>
      </c>
      <c r="D798" s="6" t="s">
        <v>1176</v>
      </c>
      <c r="E798" s="6" t="s">
        <v>2503</v>
      </c>
      <c r="F798" s="6" t="s">
        <v>1208</v>
      </c>
      <c r="G798" s="7" t="str">
        <f>HYPERLINK("https://ovidsp.ovid.com/ovidweb.cgi?T=JS&amp;NEWS=n&amp;CSC=Y&amp;PAGE=booktext&amp;D=books&amp;SC=01434661&amp;EPUB=Y","https://ovidsp.ovid.com/ovidweb.cgi?T=JS&amp;NEWS=n&amp;CSC=Y&amp;PAGE=booktext&amp;D=books&amp;SC=01434661&amp;EPUB=Y")</f>
        <v>https://ovidsp.ovid.com/ovidweb.cgi?T=JS&amp;NEWS=n&amp;CSC=Y&amp;PAGE=booktext&amp;D=books&amp;SC=01434661&amp;EPUB=Y</v>
      </c>
      <c r="H798" s="8" t="s">
        <v>1795</v>
      </c>
    </row>
    <row r="799" spans="1:8" x14ac:dyDescent="0.3">
      <c r="A799" s="4" t="s">
        <v>214</v>
      </c>
      <c r="B799" s="5">
        <v>44893</v>
      </c>
      <c r="C799" s="6" t="s">
        <v>1344</v>
      </c>
      <c r="D799" s="6" t="s">
        <v>490</v>
      </c>
      <c r="E799" s="6" t="s">
        <v>2503</v>
      </c>
      <c r="F799" s="6" t="s">
        <v>1208</v>
      </c>
      <c r="G799" s="7" t="str">
        <f>HYPERLINK("https://ovidsp.ovid.com/ovidweb.cgi?T=JS&amp;NEWS=n&amp;CSC=Y&amp;PAGE=booktext&amp;D=books&amp;SC=01434531&amp;EPUB=Y","https://ovidsp.ovid.com/ovidweb.cgi?T=JS&amp;NEWS=n&amp;CSC=Y&amp;PAGE=booktext&amp;D=books&amp;SC=01434531&amp;EPUB=Y")</f>
        <v>https://ovidsp.ovid.com/ovidweb.cgi?T=JS&amp;NEWS=n&amp;CSC=Y&amp;PAGE=booktext&amp;D=books&amp;SC=01434531&amp;EPUB=Y</v>
      </c>
      <c r="H799" s="8" t="s">
        <v>1795</v>
      </c>
    </row>
    <row r="800" spans="1:8" x14ac:dyDescent="0.3">
      <c r="A800" s="4" t="s">
        <v>1412</v>
      </c>
      <c r="B800" s="5">
        <v>44893</v>
      </c>
      <c r="C800" s="6" t="s">
        <v>1559</v>
      </c>
      <c r="D800" s="6" t="s">
        <v>1084</v>
      </c>
      <c r="E800" s="6" t="s">
        <v>2503</v>
      </c>
      <c r="F800" s="6" t="s">
        <v>1208</v>
      </c>
      <c r="G800" s="7" t="str">
        <f>HYPERLINK("https://ovidsp.ovid.com/ovidweb.cgi?T=JS&amp;NEWS=n&amp;CSC=Y&amp;PAGE=booktext&amp;D=books&amp;SC=01434539&amp;EPUB=Y","https://ovidsp.ovid.com/ovidweb.cgi?T=JS&amp;NEWS=n&amp;CSC=Y&amp;PAGE=booktext&amp;D=books&amp;SC=01434539&amp;EPUB=Y")</f>
        <v>https://ovidsp.ovid.com/ovidweb.cgi?T=JS&amp;NEWS=n&amp;CSC=Y&amp;PAGE=booktext&amp;D=books&amp;SC=01434539&amp;EPUB=Y</v>
      </c>
      <c r="H800" s="8" t="s">
        <v>1795</v>
      </c>
    </row>
    <row r="801" spans="1:8" x14ac:dyDescent="0.3">
      <c r="A801" s="4" t="s">
        <v>2232</v>
      </c>
      <c r="B801" s="5">
        <v>44893</v>
      </c>
      <c r="C801" s="6" t="s">
        <v>1140</v>
      </c>
      <c r="D801" s="6" t="s">
        <v>1881</v>
      </c>
      <c r="E801" s="6" t="s">
        <v>2503</v>
      </c>
      <c r="F801" s="6" t="s">
        <v>1208</v>
      </c>
      <c r="G801" s="7" t="str">
        <f>HYPERLINK("https://ovidsp.ovid.com/ovidweb.cgi?T=JS&amp;NEWS=n&amp;CSC=Y&amp;PAGE=booktext&amp;D=books&amp;SC=01434567&amp;EPUB=Y","https://ovidsp.ovid.com/ovidweb.cgi?T=JS&amp;NEWS=n&amp;CSC=Y&amp;PAGE=booktext&amp;D=books&amp;SC=01434567&amp;EPUB=Y")</f>
        <v>https://ovidsp.ovid.com/ovidweb.cgi?T=JS&amp;NEWS=n&amp;CSC=Y&amp;PAGE=booktext&amp;D=books&amp;SC=01434567&amp;EPUB=Y</v>
      </c>
      <c r="H801" s="8" t="s">
        <v>1795</v>
      </c>
    </row>
    <row r="802" spans="1:8" x14ac:dyDescent="0.3">
      <c r="A802" s="4" t="s">
        <v>2086</v>
      </c>
      <c r="B802" s="5">
        <v>44893</v>
      </c>
      <c r="C802" s="6" t="s">
        <v>1258</v>
      </c>
      <c r="D802" s="6" t="s">
        <v>745</v>
      </c>
      <c r="E802" s="6" t="s">
        <v>2503</v>
      </c>
      <c r="F802" s="6" t="s">
        <v>1208</v>
      </c>
      <c r="G802" s="7" t="str">
        <f>HYPERLINK("https://ovidsp.ovid.com/ovidweb.cgi?T=JS&amp;NEWS=n&amp;CSC=Y&amp;PAGE=booktext&amp;D=books&amp;SC=01434556&amp;EPUB=Y","https://ovidsp.ovid.com/ovidweb.cgi?T=JS&amp;NEWS=n&amp;CSC=Y&amp;PAGE=booktext&amp;D=books&amp;SC=01434556&amp;EPUB=Y")</f>
        <v>https://ovidsp.ovid.com/ovidweb.cgi?T=JS&amp;NEWS=n&amp;CSC=Y&amp;PAGE=booktext&amp;D=books&amp;SC=01434556&amp;EPUB=Y</v>
      </c>
      <c r="H802" s="8" t="s">
        <v>1795</v>
      </c>
    </row>
    <row r="803" spans="1:8" x14ac:dyDescent="0.3">
      <c r="A803" s="4" t="s">
        <v>1758</v>
      </c>
      <c r="B803" s="5">
        <v>44893</v>
      </c>
      <c r="C803" s="6" t="s">
        <v>2367</v>
      </c>
      <c r="D803" s="6" t="s">
        <v>1643</v>
      </c>
      <c r="E803" s="6" t="s">
        <v>2503</v>
      </c>
      <c r="F803" s="6" t="s">
        <v>1208</v>
      </c>
      <c r="G803" s="7" t="str">
        <f>HYPERLINK("https://ovidsp.ovid.com/ovidweb.cgi?T=JS&amp;NEWS=n&amp;CSC=Y&amp;PAGE=booktext&amp;D=books&amp;SC=01434356&amp;EPUB=Y","https://ovidsp.ovid.com/ovidweb.cgi?T=JS&amp;NEWS=n&amp;CSC=Y&amp;PAGE=booktext&amp;D=books&amp;SC=01434356&amp;EPUB=Y")</f>
        <v>https://ovidsp.ovid.com/ovidweb.cgi?T=JS&amp;NEWS=n&amp;CSC=Y&amp;PAGE=booktext&amp;D=books&amp;SC=01434356&amp;EPUB=Y</v>
      </c>
      <c r="H803" s="8" t="s">
        <v>1795</v>
      </c>
    </row>
    <row r="804" spans="1:8" x14ac:dyDescent="0.3">
      <c r="A804" s="4" t="s">
        <v>492</v>
      </c>
      <c r="B804" s="5">
        <v>44893</v>
      </c>
      <c r="C804" s="6" t="s">
        <v>468</v>
      </c>
      <c r="D804" s="6" t="s">
        <v>1292</v>
      </c>
      <c r="E804" s="6" t="s">
        <v>2503</v>
      </c>
      <c r="F804" s="6" t="s">
        <v>1208</v>
      </c>
      <c r="G804" s="7" t="str">
        <f>HYPERLINK("https://ovidsp.ovid.com/ovidweb.cgi?T=JS&amp;NEWS=n&amp;CSC=Y&amp;PAGE=booktext&amp;D=books&amp;SC=01434577&amp;EPUB=Y","https://ovidsp.ovid.com/ovidweb.cgi?T=JS&amp;NEWS=n&amp;CSC=Y&amp;PAGE=booktext&amp;D=books&amp;SC=01434577&amp;EPUB=Y")</f>
        <v>https://ovidsp.ovid.com/ovidweb.cgi?T=JS&amp;NEWS=n&amp;CSC=Y&amp;PAGE=booktext&amp;D=books&amp;SC=01434577&amp;EPUB=Y</v>
      </c>
      <c r="H804" s="8" t="s">
        <v>1795</v>
      </c>
    </row>
    <row r="805" spans="1:8" x14ac:dyDescent="0.3">
      <c r="A805" s="4" t="s">
        <v>146</v>
      </c>
      <c r="B805" s="5">
        <v>44893</v>
      </c>
      <c r="C805" s="6" t="s">
        <v>2455</v>
      </c>
      <c r="D805" s="6" t="s">
        <v>1227</v>
      </c>
      <c r="E805" s="6" t="s">
        <v>2503</v>
      </c>
      <c r="F805" s="6" t="s">
        <v>1208</v>
      </c>
      <c r="G805" s="7" t="str">
        <f>HYPERLINK("https://ovidsp.ovid.com/ovidweb.cgi?T=JS&amp;NEWS=n&amp;CSC=Y&amp;PAGE=booktext&amp;D=books&amp;SC=01434602&amp;EPUB=Y","https://ovidsp.ovid.com/ovidweb.cgi?T=JS&amp;NEWS=n&amp;CSC=Y&amp;PAGE=booktext&amp;D=books&amp;SC=01434602&amp;EPUB=Y")</f>
        <v>https://ovidsp.ovid.com/ovidweb.cgi?T=JS&amp;NEWS=n&amp;CSC=Y&amp;PAGE=booktext&amp;D=books&amp;SC=01434602&amp;EPUB=Y</v>
      </c>
      <c r="H805" s="8" t="s">
        <v>1795</v>
      </c>
    </row>
    <row r="806" spans="1:8" x14ac:dyDescent="0.3">
      <c r="A806" s="4" t="s">
        <v>1540</v>
      </c>
      <c r="B806" s="5">
        <v>44893</v>
      </c>
      <c r="C806" s="6" t="s">
        <v>2367</v>
      </c>
      <c r="D806" s="6" t="s">
        <v>1643</v>
      </c>
      <c r="E806" s="6" t="s">
        <v>2503</v>
      </c>
      <c r="F806" s="6" t="s">
        <v>1208</v>
      </c>
      <c r="G806" s="7" t="str">
        <f>HYPERLINK("https://ovidsp.ovid.com/ovidweb.cgi?T=JS&amp;NEWS=n&amp;CSC=Y&amp;PAGE=booktext&amp;D=books&amp;SC=01434413&amp;EPUB=Y","https://ovidsp.ovid.com/ovidweb.cgi?T=JS&amp;NEWS=n&amp;CSC=Y&amp;PAGE=booktext&amp;D=books&amp;SC=01434413&amp;EPUB=Y")</f>
        <v>https://ovidsp.ovid.com/ovidweb.cgi?T=JS&amp;NEWS=n&amp;CSC=Y&amp;PAGE=booktext&amp;D=books&amp;SC=01434413&amp;EPUB=Y</v>
      </c>
      <c r="H806" s="8" t="s">
        <v>1795</v>
      </c>
    </row>
    <row r="807" spans="1:8" x14ac:dyDescent="0.3">
      <c r="A807" s="4" t="s">
        <v>453</v>
      </c>
      <c r="B807" s="5">
        <v>44893</v>
      </c>
      <c r="C807" s="6" t="s">
        <v>2367</v>
      </c>
      <c r="D807" s="6" t="s">
        <v>1643</v>
      </c>
      <c r="E807" s="6" t="s">
        <v>2503</v>
      </c>
      <c r="F807" s="6" t="s">
        <v>241</v>
      </c>
      <c r="G807" s="7" t="str">
        <f>HYPERLINK("https://ovidsp.ovid.com/ovidweb.cgi?T=JS&amp;NEWS=n&amp;CSC=Y&amp;PAGE=booktext&amp;D=books&amp;SC=01434486&amp;EPUB=Y","https://ovidsp.ovid.com/ovidweb.cgi?T=JS&amp;NEWS=n&amp;CSC=Y&amp;PAGE=booktext&amp;D=books&amp;SC=01434486&amp;EPUB=Y")</f>
        <v>https://ovidsp.ovid.com/ovidweb.cgi?T=JS&amp;NEWS=n&amp;CSC=Y&amp;PAGE=booktext&amp;D=books&amp;SC=01434486&amp;EPUB=Y</v>
      </c>
      <c r="H807" s="8" t="s">
        <v>1795</v>
      </c>
    </row>
    <row r="808" spans="1:8" x14ac:dyDescent="0.3">
      <c r="A808" s="4" t="s">
        <v>163</v>
      </c>
      <c r="B808" s="5">
        <v>44893</v>
      </c>
      <c r="C808" s="6" t="s">
        <v>2367</v>
      </c>
      <c r="D808" s="6" t="s">
        <v>1643</v>
      </c>
      <c r="E808" s="6" t="s">
        <v>2503</v>
      </c>
      <c r="F808" s="6" t="s">
        <v>1208</v>
      </c>
      <c r="G808" s="7" t="str">
        <f>HYPERLINK("https://ovidsp.ovid.com/ovidweb.cgi?T=JS&amp;NEWS=n&amp;CSC=Y&amp;PAGE=booktext&amp;D=books&amp;SC=01434371&amp;EPUB=Y","https://ovidsp.ovid.com/ovidweb.cgi?T=JS&amp;NEWS=n&amp;CSC=Y&amp;PAGE=booktext&amp;D=books&amp;SC=01434371&amp;EPUB=Y")</f>
        <v>https://ovidsp.ovid.com/ovidweb.cgi?T=JS&amp;NEWS=n&amp;CSC=Y&amp;PAGE=booktext&amp;D=books&amp;SC=01434371&amp;EPUB=Y</v>
      </c>
      <c r="H808" s="8" t="s">
        <v>1795</v>
      </c>
    </row>
    <row r="809" spans="1:8" x14ac:dyDescent="0.3">
      <c r="A809" s="4" t="s">
        <v>163</v>
      </c>
      <c r="B809" s="5">
        <v>44893</v>
      </c>
      <c r="C809" s="6" t="s">
        <v>1554</v>
      </c>
      <c r="D809" s="6" t="s">
        <v>1136</v>
      </c>
      <c r="E809" s="6" t="s">
        <v>2503</v>
      </c>
      <c r="F809" s="6" t="s">
        <v>241</v>
      </c>
      <c r="G809" s="7" t="str">
        <f>HYPERLINK("https://ovidsp.ovid.com/ovidweb.cgi?T=JS&amp;NEWS=n&amp;CSC=Y&amp;PAGE=booktext&amp;D=books&amp;SC=02196145&amp;EPUB=Y","https://ovidsp.ovid.com/ovidweb.cgi?T=JS&amp;NEWS=n&amp;CSC=Y&amp;PAGE=booktext&amp;D=books&amp;SC=02196145&amp;EPUB=Y")</f>
        <v>https://ovidsp.ovid.com/ovidweb.cgi?T=JS&amp;NEWS=n&amp;CSC=Y&amp;PAGE=booktext&amp;D=books&amp;SC=02196145&amp;EPUB=Y</v>
      </c>
      <c r="H809" s="8" t="s">
        <v>1795</v>
      </c>
    </row>
    <row r="810" spans="1:8" x14ac:dyDescent="0.3">
      <c r="A810" s="4" t="s">
        <v>389</v>
      </c>
      <c r="B810" s="5">
        <v>44893</v>
      </c>
      <c r="C810" s="6" t="s">
        <v>2367</v>
      </c>
      <c r="D810" s="6" t="s">
        <v>1643</v>
      </c>
      <c r="E810" s="6" t="s">
        <v>2503</v>
      </c>
      <c r="F810" s="6" t="s">
        <v>1208</v>
      </c>
      <c r="G810" s="7" t="str">
        <f>HYPERLINK("https://ovidsp.ovid.com/ovidweb.cgi?T=JS&amp;NEWS=n&amp;CSC=Y&amp;PAGE=booktext&amp;D=books&amp;SC=01434280&amp;EPUB=Y","https://ovidsp.ovid.com/ovidweb.cgi?T=JS&amp;NEWS=n&amp;CSC=Y&amp;PAGE=booktext&amp;D=books&amp;SC=01434280&amp;EPUB=Y")</f>
        <v>https://ovidsp.ovid.com/ovidweb.cgi?T=JS&amp;NEWS=n&amp;CSC=Y&amp;PAGE=booktext&amp;D=books&amp;SC=01434280&amp;EPUB=Y</v>
      </c>
      <c r="H810" s="8" t="s">
        <v>1795</v>
      </c>
    </row>
    <row r="811" spans="1:8" x14ac:dyDescent="0.3">
      <c r="A811" s="4" t="s">
        <v>60</v>
      </c>
      <c r="B811" s="5">
        <v>44893</v>
      </c>
      <c r="C811" s="6" t="s">
        <v>498</v>
      </c>
      <c r="D811" s="6" t="s">
        <v>564</v>
      </c>
      <c r="E811" s="6" t="s">
        <v>2503</v>
      </c>
      <c r="F811" s="6" t="s">
        <v>241</v>
      </c>
      <c r="G811" s="7" t="str">
        <f>HYPERLINK("https://ovidsp.ovid.com/ovidweb.cgi?T=JS&amp;NEWS=n&amp;CSC=Y&amp;PAGE=booktext&amp;D=books&amp;SC=01436784&amp;EPUB=Y","https://ovidsp.ovid.com/ovidweb.cgi?T=JS&amp;NEWS=n&amp;CSC=Y&amp;PAGE=booktext&amp;D=books&amp;SC=01436784&amp;EPUB=Y")</f>
        <v>https://ovidsp.ovid.com/ovidweb.cgi?T=JS&amp;NEWS=n&amp;CSC=Y&amp;PAGE=booktext&amp;D=books&amp;SC=01436784&amp;EPUB=Y</v>
      </c>
      <c r="H811" s="8" t="s">
        <v>1795</v>
      </c>
    </row>
    <row r="812" spans="1:8" x14ac:dyDescent="0.3">
      <c r="A812" s="4" t="s">
        <v>1235</v>
      </c>
      <c r="B812" s="5">
        <v>44893</v>
      </c>
      <c r="C812" s="6" t="s">
        <v>637</v>
      </c>
      <c r="D812" s="6" t="s">
        <v>1379</v>
      </c>
      <c r="E812" s="6" t="s">
        <v>2503</v>
      </c>
      <c r="F812" s="6" t="s">
        <v>1208</v>
      </c>
      <c r="G812" s="7" t="str">
        <f>HYPERLINK("https://ovidsp.ovid.com/ovidweb.cgi?T=JS&amp;NEWS=n&amp;CSC=Y&amp;PAGE=booktext&amp;D=books&amp;SC=02205917&amp;EPUB=Y","https://ovidsp.ovid.com/ovidweb.cgi?T=JS&amp;NEWS=n&amp;CSC=Y&amp;PAGE=booktext&amp;D=books&amp;SC=02205917&amp;EPUB=Y")</f>
        <v>https://ovidsp.ovid.com/ovidweb.cgi?T=JS&amp;NEWS=n&amp;CSC=Y&amp;PAGE=booktext&amp;D=books&amp;SC=02205917&amp;EPUB=Y</v>
      </c>
      <c r="H812" s="8" t="s">
        <v>1795</v>
      </c>
    </row>
    <row r="813" spans="1:8" x14ac:dyDescent="0.3">
      <c r="A813" s="4" t="s">
        <v>2180</v>
      </c>
      <c r="B813" s="5">
        <v>44893</v>
      </c>
      <c r="C813" s="6" t="s">
        <v>2374</v>
      </c>
      <c r="D813" s="6" t="s">
        <v>1685</v>
      </c>
      <c r="E813" s="6" t="s">
        <v>2503</v>
      </c>
      <c r="F813" s="6" t="s">
        <v>1208</v>
      </c>
      <c r="G813" s="7" t="str">
        <f>HYPERLINK("https://ovidsp.ovid.com/ovidweb.cgi?T=JS&amp;NEWS=n&amp;CSC=Y&amp;PAGE=booktext&amp;D=books&amp;SC=01781594&amp;EPUB=Y","https://ovidsp.ovid.com/ovidweb.cgi?T=JS&amp;NEWS=n&amp;CSC=Y&amp;PAGE=booktext&amp;D=books&amp;SC=01781594&amp;EPUB=Y")</f>
        <v>https://ovidsp.ovid.com/ovidweb.cgi?T=JS&amp;NEWS=n&amp;CSC=Y&amp;PAGE=booktext&amp;D=books&amp;SC=01781594&amp;EPUB=Y</v>
      </c>
      <c r="H813" s="8" t="s">
        <v>1795</v>
      </c>
    </row>
    <row r="814" spans="1:8" x14ac:dyDescent="0.3">
      <c r="A814" s="4" t="s">
        <v>1818</v>
      </c>
      <c r="B814" s="5">
        <v>44893</v>
      </c>
      <c r="C814" s="6" t="s">
        <v>1629</v>
      </c>
      <c r="D814" s="6" t="s">
        <v>2262</v>
      </c>
      <c r="E814" s="6" t="s">
        <v>2503</v>
      </c>
      <c r="F814" s="6" t="s">
        <v>1208</v>
      </c>
      <c r="G814" s="7" t="str">
        <f>HYPERLINK("https://ovidsp.ovid.com/ovidweb.cgi?T=JS&amp;NEWS=n&amp;CSC=Y&amp;PAGE=booktext&amp;D=books&amp;SC=01906642&amp;EPUB=Y","https://ovidsp.ovid.com/ovidweb.cgi?T=JS&amp;NEWS=n&amp;CSC=Y&amp;PAGE=booktext&amp;D=books&amp;SC=01906642&amp;EPUB=Y")</f>
        <v>https://ovidsp.ovid.com/ovidweb.cgi?T=JS&amp;NEWS=n&amp;CSC=Y&amp;PAGE=booktext&amp;D=books&amp;SC=01906642&amp;EPUB=Y</v>
      </c>
      <c r="H814" s="8" t="s">
        <v>1795</v>
      </c>
    </row>
    <row r="815" spans="1:8" x14ac:dyDescent="0.3">
      <c r="A815" s="4" t="s">
        <v>1601</v>
      </c>
      <c r="B815" s="5">
        <v>44893</v>
      </c>
      <c r="C815" s="6" t="s">
        <v>606</v>
      </c>
      <c r="D815" s="6" t="s">
        <v>454</v>
      </c>
      <c r="E815" s="6" t="s">
        <v>2503</v>
      </c>
      <c r="F815" s="6" t="s">
        <v>2335</v>
      </c>
      <c r="G815" s="7" t="str">
        <f>HYPERLINK("https://ovidsp.ovid.com/ovidweb.cgi?T=JS&amp;NEWS=n&amp;CSC=Y&amp;PAGE=booktext&amp;D=books&amp;SC=01817242&amp;EPUB=Y","https://ovidsp.ovid.com/ovidweb.cgi?T=JS&amp;NEWS=n&amp;CSC=Y&amp;PAGE=booktext&amp;D=books&amp;SC=01817242&amp;EPUB=Y")</f>
        <v>https://ovidsp.ovid.com/ovidweb.cgi?T=JS&amp;NEWS=n&amp;CSC=Y&amp;PAGE=booktext&amp;D=books&amp;SC=01817242&amp;EPUB=Y</v>
      </c>
      <c r="H815" s="8" t="s">
        <v>1795</v>
      </c>
    </row>
    <row r="816" spans="1:8" x14ac:dyDescent="0.3">
      <c r="A816" s="4" t="s">
        <v>1601</v>
      </c>
      <c r="B816" s="5">
        <v>44893</v>
      </c>
      <c r="C816" s="6" t="s">
        <v>1672</v>
      </c>
      <c r="D816" s="6" t="s">
        <v>7</v>
      </c>
      <c r="E816" s="6" t="s">
        <v>2503</v>
      </c>
      <c r="F816" s="6" t="s">
        <v>1422</v>
      </c>
      <c r="G816" s="7" t="str">
        <f>HYPERLINK("https://ovidsp.ovid.com/ovidweb.cgi?T=JS&amp;NEWS=n&amp;CSC=Y&amp;PAGE=booktext&amp;D=books&amp;SC=02273289&amp;EPUB=Y","https://ovidsp.ovid.com/ovidweb.cgi?T=JS&amp;NEWS=n&amp;CSC=Y&amp;PAGE=booktext&amp;D=books&amp;SC=02273289&amp;EPUB=Y")</f>
        <v>https://ovidsp.ovid.com/ovidweb.cgi?T=JS&amp;NEWS=n&amp;CSC=Y&amp;PAGE=booktext&amp;D=books&amp;SC=02273289&amp;EPUB=Y</v>
      </c>
      <c r="H816" s="8" t="s">
        <v>1795</v>
      </c>
    </row>
    <row r="817" spans="1:8" x14ac:dyDescent="0.3">
      <c r="A817" s="4" t="s">
        <v>2510</v>
      </c>
      <c r="B817" s="5">
        <v>44893</v>
      </c>
      <c r="C817" s="6" t="s">
        <v>1714</v>
      </c>
      <c r="D817" s="6" t="s">
        <v>1939</v>
      </c>
      <c r="E817" s="6" t="s">
        <v>2503</v>
      </c>
      <c r="F817" s="6" t="s">
        <v>1208</v>
      </c>
      <c r="G817" s="7" t="str">
        <f>HYPERLINK("https://ovidsp.ovid.com/ovidweb.cgi?T=JS&amp;NEWS=n&amp;CSC=Y&amp;PAGE=booktext&amp;D=books&amp;SC=01714656&amp;EPUB=Y","https://ovidsp.ovid.com/ovidweb.cgi?T=JS&amp;NEWS=n&amp;CSC=Y&amp;PAGE=booktext&amp;D=books&amp;SC=01714656&amp;EPUB=Y")</f>
        <v>https://ovidsp.ovid.com/ovidweb.cgi?T=JS&amp;NEWS=n&amp;CSC=Y&amp;PAGE=booktext&amp;D=books&amp;SC=01714656&amp;EPUB=Y</v>
      </c>
      <c r="H817" s="8" t="s">
        <v>1795</v>
      </c>
    </row>
    <row r="818" spans="1:8" x14ac:dyDescent="0.3">
      <c r="A818" s="4" t="s">
        <v>1395</v>
      </c>
      <c r="B818" s="5">
        <v>44893</v>
      </c>
      <c r="C818" s="6" t="s">
        <v>872</v>
      </c>
      <c r="D818" s="6" t="s">
        <v>1636</v>
      </c>
      <c r="E818" s="6" t="s">
        <v>2503</v>
      </c>
      <c r="F818" s="6" t="s">
        <v>1208</v>
      </c>
      <c r="G818" s="7" t="str">
        <f>HYPERLINK("https://ovidsp.ovid.com/ovidweb.cgi?T=JS&amp;NEWS=n&amp;CSC=Y&amp;PAGE=booktext&amp;D=books&amp;SC=01434647&amp;EPUB=Y","https://ovidsp.ovid.com/ovidweb.cgi?T=JS&amp;NEWS=n&amp;CSC=Y&amp;PAGE=booktext&amp;D=books&amp;SC=01434647&amp;EPUB=Y")</f>
        <v>https://ovidsp.ovid.com/ovidweb.cgi?T=JS&amp;NEWS=n&amp;CSC=Y&amp;PAGE=booktext&amp;D=books&amp;SC=01434647&amp;EPUB=Y</v>
      </c>
      <c r="H818" s="8" t="s">
        <v>1795</v>
      </c>
    </row>
    <row r="819" spans="1:8" x14ac:dyDescent="0.3">
      <c r="A819" s="4" t="s">
        <v>1079</v>
      </c>
      <c r="B819" s="5">
        <v>44893</v>
      </c>
      <c r="C819" s="6" t="s">
        <v>2070</v>
      </c>
      <c r="D819" s="6" t="s">
        <v>205</v>
      </c>
      <c r="E819" s="6" t="s">
        <v>2503</v>
      </c>
      <c r="F819" s="6" t="s">
        <v>1208</v>
      </c>
      <c r="G819" s="7" t="str">
        <f>HYPERLINK("https://ovidsp.ovid.com/ovidweb.cgi?T=JS&amp;NEWS=n&amp;CSC=Y&amp;PAGE=booktext&amp;D=books&amp;SC=01434826&amp;EPUB=Y","https://ovidsp.ovid.com/ovidweb.cgi?T=JS&amp;NEWS=n&amp;CSC=Y&amp;PAGE=booktext&amp;D=books&amp;SC=01434826&amp;EPUB=Y")</f>
        <v>https://ovidsp.ovid.com/ovidweb.cgi?T=JS&amp;NEWS=n&amp;CSC=Y&amp;PAGE=booktext&amp;D=books&amp;SC=01434826&amp;EPUB=Y</v>
      </c>
      <c r="H819" s="8" t="s">
        <v>1795</v>
      </c>
    </row>
    <row r="820" spans="1:8" x14ac:dyDescent="0.3">
      <c r="A820" s="4" t="s">
        <v>2263</v>
      </c>
      <c r="B820" s="5">
        <v>44893</v>
      </c>
      <c r="C820" s="6" t="s">
        <v>83</v>
      </c>
      <c r="D820" s="6" t="s">
        <v>1156</v>
      </c>
      <c r="E820" s="6" t="s">
        <v>2503</v>
      </c>
      <c r="F820" s="6" t="s">
        <v>619</v>
      </c>
      <c r="G820" s="7" t="str">
        <f>HYPERLINK("https://ovidsp.ovid.com/ovidweb.cgi?T=JS&amp;NEWS=n&amp;CSC=Y&amp;PAGE=booktext&amp;D=books&amp;SC=02223343&amp;EPUB=Y","https://ovidsp.ovid.com/ovidweb.cgi?T=JS&amp;NEWS=n&amp;CSC=Y&amp;PAGE=booktext&amp;D=books&amp;SC=02223343&amp;EPUB=Y")</f>
        <v>https://ovidsp.ovid.com/ovidweb.cgi?T=JS&amp;NEWS=n&amp;CSC=Y&amp;PAGE=booktext&amp;D=books&amp;SC=02223343&amp;EPUB=Y</v>
      </c>
      <c r="H820" s="8" t="s">
        <v>1795</v>
      </c>
    </row>
    <row r="821" spans="1:8" x14ac:dyDescent="0.3">
      <c r="A821" s="4" t="s">
        <v>2263</v>
      </c>
      <c r="B821" s="5">
        <v>44893</v>
      </c>
      <c r="C821" s="6" t="s">
        <v>666</v>
      </c>
      <c r="D821" s="6" t="s">
        <v>133</v>
      </c>
      <c r="E821" s="6" t="s">
        <v>2503</v>
      </c>
      <c r="F821" s="6" t="s">
        <v>241</v>
      </c>
      <c r="G821" s="7" t="str">
        <f>HYPERLINK("https://ovidsp.ovid.com/ovidweb.cgi?T=JS&amp;NEWS=n&amp;CSC=Y&amp;PAGE=booktext&amp;D=books&amp;SC=01974525&amp;EPUB=Y","https://ovidsp.ovid.com/ovidweb.cgi?T=JS&amp;NEWS=n&amp;CSC=Y&amp;PAGE=booktext&amp;D=books&amp;SC=01974525&amp;EPUB=Y")</f>
        <v>https://ovidsp.ovid.com/ovidweb.cgi?T=JS&amp;NEWS=n&amp;CSC=Y&amp;PAGE=booktext&amp;D=books&amp;SC=01974525&amp;EPUB=Y</v>
      </c>
      <c r="H821" s="8" t="s">
        <v>1795</v>
      </c>
    </row>
    <row r="822" spans="1:8" x14ac:dyDescent="0.3">
      <c r="A822" s="4" t="s">
        <v>1739</v>
      </c>
      <c r="B822" s="5">
        <v>44893</v>
      </c>
      <c r="C822" s="6" t="s">
        <v>1901</v>
      </c>
      <c r="D822" s="6" t="s">
        <v>141</v>
      </c>
      <c r="E822" s="6" t="s">
        <v>2503</v>
      </c>
      <c r="F822" s="6" t="s">
        <v>1208</v>
      </c>
      <c r="G822" s="7" t="str">
        <f>HYPERLINK("https://ovidsp.ovid.com/ovidweb.cgi?T=JS&amp;NEWS=n&amp;CSC=Y&amp;PAGE=booktext&amp;D=books&amp;SC=01817243&amp;EPUB=Y","https://ovidsp.ovid.com/ovidweb.cgi?T=JS&amp;NEWS=n&amp;CSC=Y&amp;PAGE=booktext&amp;D=books&amp;SC=01817243&amp;EPUB=Y")</f>
        <v>https://ovidsp.ovid.com/ovidweb.cgi?T=JS&amp;NEWS=n&amp;CSC=Y&amp;PAGE=booktext&amp;D=books&amp;SC=01817243&amp;EPUB=Y</v>
      </c>
      <c r="H822" s="8" t="s">
        <v>1795</v>
      </c>
    </row>
    <row r="823" spans="1:8" x14ac:dyDescent="0.3">
      <c r="A823" s="4" t="s">
        <v>33</v>
      </c>
      <c r="B823" s="5">
        <v>44893</v>
      </c>
      <c r="C823" s="6" t="s">
        <v>2586</v>
      </c>
      <c r="D823" s="6" t="s">
        <v>964</v>
      </c>
      <c r="E823" s="6" t="s">
        <v>2503</v>
      </c>
      <c r="F823" s="6" t="s">
        <v>1208</v>
      </c>
      <c r="G823" s="7" t="str">
        <f>HYPERLINK("https://ovidsp.ovid.com/ovidweb.cgi?T=JS&amp;NEWS=n&amp;CSC=Y&amp;PAGE=booktext&amp;D=books&amp;SC=01781595&amp;EPUB=Y","https://ovidsp.ovid.com/ovidweb.cgi?T=JS&amp;NEWS=n&amp;CSC=Y&amp;PAGE=booktext&amp;D=books&amp;SC=01781595&amp;EPUB=Y")</f>
        <v>https://ovidsp.ovid.com/ovidweb.cgi?T=JS&amp;NEWS=n&amp;CSC=Y&amp;PAGE=booktext&amp;D=books&amp;SC=01781595&amp;EPUB=Y</v>
      </c>
      <c r="H823" s="8" t="s">
        <v>1795</v>
      </c>
    </row>
    <row r="824" spans="1:8" x14ac:dyDescent="0.3">
      <c r="A824" s="4" t="s">
        <v>34</v>
      </c>
      <c r="B824" s="5">
        <v>44893</v>
      </c>
      <c r="C824" s="6" t="s">
        <v>2367</v>
      </c>
      <c r="D824" s="6" t="s">
        <v>1643</v>
      </c>
      <c r="E824" s="6" t="s">
        <v>2503</v>
      </c>
      <c r="F824" s="6" t="s">
        <v>1208</v>
      </c>
      <c r="G824" s="7" t="str">
        <f>HYPERLINK("https://ovidsp.ovid.com/ovidweb.cgi?T=JS&amp;NEWS=n&amp;CSC=Y&amp;PAGE=booktext&amp;D=books&amp;SC=01434309&amp;EPUB=Y","https://ovidsp.ovid.com/ovidweb.cgi?T=JS&amp;NEWS=n&amp;CSC=Y&amp;PAGE=booktext&amp;D=books&amp;SC=01434309&amp;EPUB=Y")</f>
        <v>https://ovidsp.ovid.com/ovidweb.cgi?T=JS&amp;NEWS=n&amp;CSC=Y&amp;PAGE=booktext&amp;D=books&amp;SC=01434309&amp;EPUB=Y</v>
      </c>
      <c r="H824" s="8" t="s">
        <v>1795</v>
      </c>
    </row>
    <row r="825" spans="1:8" x14ac:dyDescent="0.3">
      <c r="A825" s="4" t="s">
        <v>2394</v>
      </c>
      <c r="B825" s="5">
        <v>44893</v>
      </c>
      <c r="C825" s="6" t="s">
        <v>2477</v>
      </c>
      <c r="D825" s="6" t="s">
        <v>297</v>
      </c>
      <c r="E825" s="6" t="s">
        <v>2503</v>
      </c>
      <c r="F825" s="6" t="s">
        <v>1208</v>
      </c>
      <c r="G825" s="7" t="str">
        <f>HYPERLINK("https://ovidsp.ovid.com/ovidweb.cgi?T=JS&amp;NEWS=n&amp;CSC=Y&amp;PAGE=booktext&amp;D=books&amp;SC=01434606&amp;EPUB=Y","https://ovidsp.ovid.com/ovidweb.cgi?T=JS&amp;NEWS=n&amp;CSC=Y&amp;PAGE=booktext&amp;D=books&amp;SC=01434606&amp;EPUB=Y")</f>
        <v>https://ovidsp.ovid.com/ovidweb.cgi?T=JS&amp;NEWS=n&amp;CSC=Y&amp;PAGE=booktext&amp;D=books&amp;SC=01434606&amp;EPUB=Y</v>
      </c>
      <c r="H825" s="8" t="s">
        <v>1795</v>
      </c>
    </row>
    <row r="826" spans="1:8" x14ac:dyDescent="0.3">
      <c r="A826" s="4" t="s">
        <v>2441</v>
      </c>
      <c r="B826" s="5">
        <v>44893</v>
      </c>
      <c r="C826" s="6" t="s">
        <v>1726</v>
      </c>
      <c r="D826" s="6" t="s">
        <v>261</v>
      </c>
      <c r="E826" s="6" t="s">
        <v>2503</v>
      </c>
      <c r="F826" s="6" t="s">
        <v>1208</v>
      </c>
      <c r="G826" s="7" t="str">
        <f>HYPERLINK("https://ovidsp.ovid.com/ovidweb.cgi?T=JS&amp;NEWS=n&amp;CSC=Y&amp;PAGE=booktext&amp;D=books&amp;SC=01929402&amp;EPUB=Y","https://ovidsp.ovid.com/ovidweb.cgi?T=JS&amp;NEWS=n&amp;CSC=Y&amp;PAGE=booktext&amp;D=books&amp;SC=01929402&amp;EPUB=Y")</f>
        <v>https://ovidsp.ovid.com/ovidweb.cgi?T=JS&amp;NEWS=n&amp;CSC=Y&amp;PAGE=booktext&amp;D=books&amp;SC=01929402&amp;EPUB=Y</v>
      </c>
      <c r="H826" s="8" t="s">
        <v>1795</v>
      </c>
    </row>
    <row r="827" spans="1:8" x14ac:dyDescent="0.3">
      <c r="A827" s="4" t="s">
        <v>125</v>
      </c>
      <c r="B827" s="5">
        <v>44893</v>
      </c>
      <c r="C827" s="6" t="s">
        <v>2367</v>
      </c>
      <c r="D827" s="6" t="s">
        <v>1643</v>
      </c>
      <c r="E827" s="6" t="s">
        <v>2503</v>
      </c>
      <c r="F827" s="6" t="s">
        <v>1208</v>
      </c>
      <c r="G827" s="7" t="str">
        <f>HYPERLINK("https://ovidsp.ovid.com/ovidweb.cgi?T=JS&amp;NEWS=n&amp;CSC=Y&amp;PAGE=booktext&amp;D=books&amp;SC=01434463&amp;EPUB=Y","https://ovidsp.ovid.com/ovidweb.cgi?T=JS&amp;NEWS=n&amp;CSC=Y&amp;PAGE=booktext&amp;D=books&amp;SC=01434463&amp;EPUB=Y")</f>
        <v>https://ovidsp.ovid.com/ovidweb.cgi?T=JS&amp;NEWS=n&amp;CSC=Y&amp;PAGE=booktext&amp;D=books&amp;SC=01434463&amp;EPUB=Y</v>
      </c>
      <c r="H827" s="8" t="s">
        <v>1795</v>
      </c>
    </row>
    <row r="828" spans="1:8" x14ac:dyDescent="0.3">
      <c r="A828" s="4" t="s">
        <v>230</v>
      </c>
      <c r="B828" s="5">
        <v>44893</v>
      </c>
      <c r="C828" s="6" t="s">
        <v>898</v>
      </c>
      <c r="D828" s="6" t="s">
        <v>1112</v>
      </c>
      <c r="E828" s="6" t="s">
        <v>2503</v>
      </c>
      <c r="F828" s="6" t="s">
        <v>1208</v>
      </c>
      <c r="G828" s="7" t="str">
        <f>HYPERLINK("https://ovidsp.ovid.com/ovidweb.cgi?T=JS&amp;NEWS=n&amp;CSC=Y&amp;PAGE=booktext&amp;D=books&amp;SC=02091934&amp;EPUB=Y","https://ovidsp.ovid.com/ovidweb.cgi?T=JS&amp;NEWS=n&amp;CSC=Y&amp;PAGE=booktext&amp;D=books&amp;SC=02091934&amp;EPUB=Y")</f>
        <v>https://ovidsp.ovid.com/ovidweb.cgi?T=JS&amp;NEWS=n&amp;CSC=Y&amp;PAGE=booktext&amp;D=books&amp;SC=02091934&amp;EPUB=Y</v>
      </c>
      <c r="H828" s="8" t="s">
        <v>1795</v>
      </c>
    </row>
    <row r="829" spans="1:8" x14ac:dyDescent="0.3">
      <c r="A829" s="4" t="s">
        <v>67</v>
      </c>
      <c r="B829" s="5">
        <v>44893</v>
      </c>
      <c r="C829" s="6" t="s">
        <v>608</v>
      </c>
      <c r="D829" s="6" t="s">
        <v>1441</v>
      </c>
      <c r="E829" s="6" t="s">
        <v>2503</v>
      </c>
      <c r="F829" s="6" t="s">
        <v>1208</v>
      </c>
      <c r="G829" s="7" t="str">
        <f>HYPERLINK("https://ovidsp.ovid.com/ovidweb.cgi?T=JS&amp;NEWS=n&amp;CSC=Y&amp;PAGE=booktext&amp;D=books&amp;SC=01434676&amp;EPUB=Y","https://ovidsp.ovid.com/ovidweb.cgi?T=JS&amp;NEWS=n&amp;CSC=Y&amp;PAGE=booktext&amp;D=books&amp;SC=01434676&amp;EPUB=Y")</f>
        <v>https://ovidsp.ovid.com/ovidweb.cgi?T=JS&amp;NEWS=n&amp;CSC=Y&amp;PAGE=booktext&amp;D=books&amp;SC=01434676&amp;EPUB=Y</v>
      </c>
      <c r="H829" s="8" t="s">
        <v>1795</v>
      </c>
    </row>
    <row r="830" spans="1:8" x14ac:dyDescent="0.3">
      <c r="A830" s="4" t="s">
        <v>2020</v>
      </c>
      <c r="B830" s="5">
        <v>44893</v>
      </c>
      <c r="C830" s="6" t="s">
        <v>1501</v>
      </c>
      <c r="D830" s="6" t="s">
        <v>1103</v>
      </c>
      <c r="E830" s="6" t="s">
        <v>2503</v>
      </c>
      <c r="F830" s="6" t="s">
        <v>241</v>
      </c>
      <c r="G830" s="7" t="str">
        <f>HYPERLINK("https://ovidsp.ovid.com/ovidweb.cgi?T=JS&amp;NEWS=n&amp;CSC=Y&amp;PAGE=booktext&amp;D=books&amp;SC=01929401&amp;EPUB=Y","https://ovidsp.ovid.com/ovidweb.cgi?T=JS&amp;NEWS=n&amp;CSC=Y&amp;PAGE=booktext&amp;D=books&amp;SC=01929401&amp;EPUB=Y")</f>
        <v>https://ovidsp.ovid.com/ovidweb.cgi?T=JS&amp;NEWS=n&amp;CSC=Y&amp;PAGE=booktext&amp;D=books&amp;SC=01929401&amp;EPUB=Y</v>
      </c>
      <c r="H830" s="8" t="s">
        <v>1795</v>
      </c>
    </row>
    <row r="831" spans="1:8" x14ac:dyDescent="0.3">
      <c r="A831" s="4" t="s">
        <v>2535</v>
      </c>
      <c r="B831" s="5">
        <v>44893</v>
      </c>
      <c r="C831" s="6" t="s">
        <v>2366</v>
      </c>
      <c r="D831" s="6" t="s">
        <v>1189</v>
      </c>
      <c r="E831" s="6" t="s">
        <v>2503</v>
      </c>
      <c r="F831" s="6" t="s">
        <v>1208</v>
      </c>
      <c r="G831" s="7" t="str">
        <f>HYPERLINK("https://ovidsp.ovid.com/ovidweb.cgi?T=JS&amp;NEWS=n&amp;CSC=Y&amp;PAGE=booktext&amp;D=books&amp;SC=02107290&amp;EPUB=Y","https://ovidsp.ovid.com/ovidweb.cgi?T=JS&amp;NEWS=n&amp;CSC=Y&amp;PAGE=booktext&amp;D=books&amp;SC=02107290&amp;EPUB=Y")</f>
        <v>https://ovidsp.ovid.com/ovidweb.cgi?T=JS&amp;NEWS=n&amp;CSC=Y&amp;PAGE=booktext&amp;D=books&amp;SC=02107290&amp;EPUB=Y</v>
      </c>
      <c r="H831" s="8" t="s">
        <v>1795</v>
      </c>
    </row>
    <row r="832" spans="1:8" x14ac:dyDescent="0.3">
      <c r="A832" s="4" t="s">
        <v>209</v>
      </c>
      <c r="B832" s="5">
        <v>44893</v>
      </c>
      <c r="C832" s="6" t="s">
        <v>854</v>
      </c>
      <c r="D832" s="6" t="s">
        <v>2463</v>
      </c>
      <c r="E832" s="6" t="s">
        <v>2503</v>
      </c>
      <c r="F832" s="6" t="s">
        <v>1208</v>
      </c>
      <c r="G832" s="7" t="str">
        <f>HYPERLINK("https://ovidsp.ovid.com/ovidweb.cgi?T=JS&amp;NEWS=n&amp;CSC=Y&amp;PAGE=booktext&amp;D=books&amp;SC=02118338&amp;EPUB=Y","https://ovidsp.ovid.com/ovidweb.cgi?T=JS&amp;NEWS=n&amp;CSC=Y&amp;PAGE=booktext&amp;D=books&amp;SC=02118338&amp;EPUB=Y")</f>
        <v>https://ovidsp.ovid.com/ovidweb.cgi?T=JS&amp;NEWS=n&amp;CSC=Y&amp;PAGE=booktext&amp;D=books&amp;SC=02118338&amp;EPUB=Y</v>
      </c>
      <c r="H832" s="8" t="s">
        <v>1795</v>
      </c>
    </row>
    <row r="833" spans="1:8" x14ac:dyDescent="0.3">
      <c r="A833" s="4" t="s">
        <v>682</v>
      </c>
      <c r="B833" s="5">
        <v>44893</v>
      </c>
      <c r="C833" s="6" t="s">
        <v>2367</v>
      </c>
      <c r="D833" s="6" t="s">
        <v>1643</v>
      </c>
      <c r="E833" s="6" t="s">
        <v>2503</v>
      </c>
      <c r="F833" s="6" t="s">
        <v>1208</v>
      </c>
      <c r="G833" s="7" t="str">
        <f>HYPERLINK("https://ovidsp.ovid.com/ovidweb.cgi?T=JS&amp;NEWS=n&amp;CSC=Y&amp;PAGE=booktext&amp;D=books&amp;SC=01434396&amp;EPUB=Y","https://ovidsp.ovid.com/ovidweb.cgi?T=JS&amp;NEWS=n&amp;CSC=Y&amp;PAGE=booktext&amp;D=books&amp;SC=01434396&amp;EPUB=Y")</f>
        <v>https://ovidsp.ovid.com/ovidweb.cgi?T=JS&amp;NEWS=n&amp;CSC=Y&amp;PAGE=booktext&amp;D=books&amp;SC=01434396&amp;EPUB=Y</v>
      </c>
      <c r="H833" s="8" t="s">
        <v>1795</v>
      </c>
    </row>
    <row r="834" spans="1:8" x14ac:dyDescent="0.3">
      <c r="A834" s="4" t="s">
        <v>1877</v>
      </c>
      <c r="B834" s="5">
        <v>44893</v>
      </c>
      <c r="C834" s="6" t="s">
        <v>514</v>
      </c>
      <c r="D834" s="6" t="s">
        <v>2347</v>
      </c>
      <c r="E834" s="6" t="s">
        <v>2503</v>
      </c>
      <c r="F834" s="6" t="s">
        <v>1208</v>
      </c>
      <c r="G834" s="7" t="str">
        <f>HYPERLINK("https://ovidsp.ovid.com/ovidweb.cgi?T=JS&amp;NEWS=n&amp;CSC=Y&amp;PAGE=booktext&amp;D=books&amp;SC=01781596&amp;EPUB=Y","https://ovidsp.ovid.com/ovidweb.cgi?T=JS&amp;NEWS=n&amp;CSC=Y&amp;PAGE=booktext&amp;D=books&amp;SC=01781596&amp;EPUB=Y")</f>
        <v>https://ovidsp.ovid.com/ovidweb.cgi?T=JS&amp;NEWS=n&amp;CSC=Y&amp;PAGE=booktext&amp;D=books&amp;SC=01781596&amp;EPUB=Y</v>
      </c>
      <c r="H834" s="8" t="s">
        <v>1795</v>
      </c>
    </row>
    <row r="835" spans="1:8" x14ac:dyDescent="0.3">
      <c r="A835" s="4" t="s">
        <v>2178</v>
      </c>
      <c r="B835" s="5">
        <v>44893</v>
      </c>
      <c r="C835" s="6" t="s">
        <v>1627</v>
      </c>
      <c r="D835" s="6" t="s">
        <v>326</v>
      </c>
      <c r="E835" s="6" t="s">
        <v>2503</v>
      </c>
      <c r="F835" s="6" t="s">
        <v>1208</v>
      </c>
      <c r="G835" s="7" t="str">
        <f>HYPERLINK("https://ovidsp.ovid.com/ovidweb.cgi?T=JS&amp;NEWS=n&amp;CSC=Y&amp;PAGE=booktext&amp;D=books&amp;SC=01439434&amp;EPUB=Y","https://ovidsp.ovid.com/ovidweb.cgi?T=JS&amp;NEWS=n&amp;CSC=Y&amp;PAGE=booktext&amp;D=books&amp;SC=01439434&amp;EPUB=Y")</f>
        <v>https://ovidsp.ovid.com/ovidweb.cgi?T=JS&amp;NEWS=n&amp;CSC=Y&amp;PAGE=booktext&amp;D=books&amp;SC=01439434&amp;EPUB=Y</v>
      </c>
      <c r="H835" s="8" t="s">
        <v>1795</v>
      </c>
    </row>
    <row r="836" spans="1:8" x14ac:dyDescent="0.3">
      <c r="A836" s="4" t="s">
        <v>577</v>
      </c>
      <c r="B836" s="5">
        <v>44893</v>
      </c>
      <c r="C836" s="6" t="s">
        <v>1077</v>
      </c>
      <c r="D836" s="6" t="s">
        <v>2490</v>
      </c>
      <c r="E836" s="6" t="s">
        <v>2503</v>
      </c>
      <c r="F836" s="6" t="s">
        <v>1208</v>
      </c>
      <c r="G836" s="7" t="str">
        <f>HYPERLINK("https://ovidsp.ovid.com/ovidweb.cgi?T=JS&amp;NEWS=n&amp;CSC=Y&amp;PAGE=booktext&amp;D=books&amp;SC=01434468&amp;EPUB=Y","https://ovidsp.ovid.com/ovidweb.cgi?T=JS&amp;NEWS=n&amp;CSC=Y&amp;PAGE=booktext&amp;D=books&amp;SC=01434468&amp;EPUB=Y")</f>
        <v>https://ovidsp.ovid.com/ovidweb.cgi?T=JS&amp;NEWS=n&amp;CSC=Y&amp;PAGE=booktext&amp;D=books&amp;SC=01434468&amp;EPUB=Y</v>
      </c>
      <c r="H836" s="8" t="s">
        <v>1795</v>
      </c>
    </row>
    <row r="837" spans="1:8" x14ac:dyDescent="0.3">
      <c r="A837" s="4" t="s">
        <v>1063</v>
      </c>
      <c r="B837" s="5">
        <v>44893</v>
      </c>
      <c r="C837" s="6" t="s">
        <v>1924</v>
      </c>
      <c r="D837" s="6" t="s">
        <v>423</v>
      </c>
      <c r="E837" s="6" t="s">
        <v>2503</v>
      </c>
      <c r="F837" s="6" t="s">
        <v>1208</v>
      </c>
      <c r="G837" s="7" t="str">
        <f>HYPERLINK("https://ovidsp.ovid.com/ovidweb.cgi?T=JS&amp;NEWS=n&amp;CSC=Y&amp;PAGE=booktext&amp;D=books&amp;SC=01434642&amp;EPUB=Y","https://ovidsp.ovid.com/ovidweb.cgi?T=JS&amp;NEWS=n&amp;CSC=Y&amp;PAGE=booktext&amp;D=books&amp;SC=01434642&amp;EPUB=Y")</f>
        <v>https://ovidsp.ovid.com/ovidweb.cgi?T=JS&amp;NEWS=n&amp;CSC=Y&amp;PAGE=booktext&amp;D=books&amp;SC=01434642&amp;EPUB=Y</v>
      </c>
      <c r="H837" s="8" t="s">
        <v>1795</v>
      </c>
    </row>
    <row r="838" spans="1:8" x14ac:dyDescent="0.3">
      <c r="A838" s="4" t="s">
        <v>354</v>
      </c>
      <c r="B838" s="5">
        <v>44893</v>
      </c>
      <c r="C838" s="6" t="s">
        <v>2367</v>
      </c>
      <c r="D838" s="6" t="s">
        <v>1643</v>
      </c>
      <c r="E838" s="6" t="s">
        <v>2503</v>
      </c>
      <c r="F838" s="6" t="s">
        <v>1208</v>
      </c>
      <c r="G838" s="7" t="str">
        <f>HYPERLINK("https://ovidsp.ovid.com/ovidweb.cgi?T=JS&amp;NEWS=n&amp;CSC=Y&amp;PAGE=booktext&amp;D=books&amp;SC=01436952&amp;EPUB=Y","https://ovidsp.ovid.com/ovidweb.cgi?T=JS&amp;NEWS=n&amp;CSC=Y&amp;PAGE=booktext&amp;D=books&amp;SC=01436952&amp;EPUB=Y")</f>
        <v>https://ovidsp.ovid.com/ovidweb.cgi?T=JS&amp;NEWS=n&amp;CSC=Y&amp;PAGE=booktext&amp;D=books&amp;SC=01436952&amp;EPUB=Y</v>
      </c>
      <c r="H838" s="8" t="s">
        <v>1795</v>
      </c>
    </row>
    <row r="839" spans="1:8" x14ac:dyDescent="0.3">
      <c r="A839" s="4" t="s">
        <v>1598</v>
      </c>
      <c r="B839" s="5">
        <v>44893</v>
      </c>
      <c r="C839" s="6" t="s">
        <v>2367</v>
      </c>
      <c r="D839" s="6" t="s">
        <v>1643</v>
      </c>
      <c r="E839" s="6" t="s">
        <v>2503</v>
      </c>
      <c r="F839" s="6" t="s">
        <v>1208</v>
      </c>
      <c r="G839" s="7" t="str">
        <f>HYPERLINK("https://ovidsp.ovid.com/ovidweb.cgi?T=JS&amp;NEWS=n&amp;CSC=Y&amp;PAGE=booktext&amp;D=books&amp;SC=01434362&amp;EPUB=Y","https://ovidsp.ovid.com/ovidweb.cgi?T=JS&amp;NEWS=n&amp;CSC=Y&amp;PAGE=booktext&amp;D=books&amp;SC=01434362&amp;EPUB=Y")</f>
        <v>https://ovidsp.ovid.com/ovidweb.cgi?T=JS&amp;NEWS=n&amp;CSC=Y&amp;PAGE=booktext&amp;D=books&amp;SC=01434362&amp;EPUB=Y</v>
      </c>
      <c r="H839" s="8" t="s">
        <v>1795</v>
      </c>
    </row>
    <row r="840" spans="1:8" x14ac:dyDescent="0.3">
      <c r="A840" s="4" t="s">
        <v>64</v>
      </c>
      <c r="B840" s="5">
        <v>44893</v>
      </c>
      <c r="C840" s="6" t="s">
        <v>2015</v>
      </c>
      <c r="D840" s="6" t="s">
        <v>719</v>
      </c>
      <c r="E840" s="6" t="s">
        <v>2503</v>
      </c>
      <c r="F840" s="6" t="s">
        <v>1208</v>
      </c>
      <c r="G840" s="7" t="str">
        <f>HYPERLINK("https://ovidsp.ovid.com/ovidweb.cgi?T=JS&amp;NEWS=n&amp;CSC=Y&amp;PAGE=booktext&amp;D=books&amp;SC=01703963&amp;EPUB=Y","https://ovidsp.ovid.com/ovidweb.cgi?T=JS&amp;NEWS=n&amp;CSC=Y&amp;PAGE=booktext&amp;D=books&amp;SC=01703963&amp;EPUB=Y")</f>
        <v>https://ovidsp.ovid.com/ovidweb.cgi?T=JS&amp;NEWS=n&amp;CSC=Y&amp;PAGE=booktext&amp;D=books&amp;SC=01703963&amp;EPUB=Y</v>
      </c>
      <c r="H840" s="8" t="s">
        <v>1795</v>
      </c>
    </row>
    <row r="841" spans="1:8" x14ac:dyDescent="0.3">
      <c r="A841" s="4" t="s">
        <v>1271</v>
      </c>
      <c r="B841" s="5">
        <v>44893</v>
      </c>
      <c r="C841" s="6" t="s">
        <v>569</v>
      </c>
      <c r="D841" s="6" t="s">
        <v>119</v>
      </c>
      <c r="E841" s="6" t="s">
        <v>2503</v>
      </c>
      <c r="F841" s="6" t="s">
        <v>1208</v>
      </c>
      <c r="G841" s="7" t="str">
        <f>HYPERLINK("https://ovidsp.ovid.com/ovidweb.cgi?T=JS&amp;NEWS=n&amp;CSC=Y&amp;PAGE=booktext&amp;D=books&amp;SC=01626541&amp;EPUB=Y","https://ovidsp.ovid.com/ovidweb.cgi?T=JS&amp;NEWS=n&amp;CSC=Y&amp;PAGE=booktext&amp;D=books&amp;SC=01626541&amp;EPUB=Y")</f>
        <v>https://ovidsp.ovid.com/ovidweb.cgi?T=JS&amp;NEWS=n&amp;CSC=Y&amp;PAGE=booktext&amp;D=books&amp;SC=01626541&amp;EPUB=Y</v>
      </c>
      <c r="H841" s="8" t="s">
        <v>1795</v>
      </c>
    </row>
    <row r="842" spans="1:8" x14ac:dyDescent="0.3">
      <c r="A842" s="4" t="s">
        <v>738</v>
      </c>
      <c r="B842" s="5">
        <v>44893</v>
      </c>
      <c r="C842" s="6" t="s">
        <v>2206</v>
      </c>
      <c r="D842" s="6" t="s">
        <v>1965</v>
      </c>
      <c r="E842" s="6" t="s">
        <v>2503</v>
      </c>
      <c r="F842" s="6" t="s">
        <v>1208</v>
      </c>
      <c r="G842" s="7" t="str">
        <f>HYPERLINK("https://ovidsp.ovid.com/ovidweb.cgi?T=JS&amp;NEWS=n&amp;CSC=Y&amp;PAGE=booktext&amp;D=books&amp;SC=01933622&amp;EPUB=Y","https://ovidsp.ovid.com/ovidweb.cgi?T=JS&amp;NEWS=n&amp;CSC=Y&amp;PAGE=booktext&amp;D=books&amp;SC=01933622&amp;EPUB=Y")</f>
        <v>https://ovidsp.ovid.com/ovidweb.cgi?T=JS&amp;NEWS=n&amp;CSC=Y&amp;PAGE=booktext&amp;D=books&amp;SC=01933622&amp;EPUB=Y</v>
      </c>
      <c r="H842" s="8" t="s">
        <v>1795</v>
      </c>
    </row>
    <row r="843" spans="1:8" x14ac:dyDescent="0.3">
      <c r="A843" s="4" t="s">
        <v>250</v>
      </c>
      <c r="B843" s="5">
        <v>44893</v>
      </c>
      <c r="C843" s="6" t="s">
        <v>371</v>
      </c>
      <c r="D843" s="6" t="s">
        <v>864</v>
      </c>
      <c r="E843" s="6" t="s">
        <v>2503</v>
      </c>
      <c r="F843" s="6" t="s">
        <v>1208</v>
      </c>
      <c r="G843" s="7" t="str">
        <f>HYPERLINK("https://ovidsp.ovid.com/ovidweb.cgi?T=JS&amp;NEWS=n&amp;CSC=Y&amp;PAGE=booktext&amp;D=books&amp;SC=01434544&amp;EPUB=Y","https://ovidsp.ovid.com/ovidweb.cgi?T=JS&amp;NEWS=n&amp;CSC=Y&amp;PAGE=booktext&amp;D=books&amp;SC=01434544&amp;EPUB=Y")</f>
        <v>https://ovidsp.ovid.com/ovidweb.cgi?T=JS&amp;NEWS=n&amp;CSC=Y&amp;PAGE=booktext&amp;D=books&amp;SC=01434544&amp;EPUB=Y</v>
      </c>
      <c r="H843" s="8" t="s">
        <v>1795</v>
      </c>
    </row>
    <row r="844" spans="1:8" x14ac:dyDescent="0.3">
      <c r="A844" s="4" t="s">
        <v>1293</v>
      </c>
      <c r="B844" s="5">
        <v>44893</v>
      </c>
      <c r="C844" s="6" t="s">
        <v>1676</v>
      </c>
      <c r="D844" s="6" t="s">
        <v>759</v>
      </c>
      <c r="E844" s="6" t="s">
        <v>2503</v>
      </c>
      <c r="F844" s="6" t="s">
        <v>1208</v>
      </c>
      <c r="G844" s="7" t="str">
        <f>HYPERLINK("https://ovidsp.ovid.com/ovidweb.cgi?T=JS&amp;NEWS=n&amp;CSC=Y&amp;PAGE=booktext&amp;D=books&amp;SC=02081102&amp;EPUB=Y","https://ovidsp.ovid.com/ovidweb.cgi?T=JS&amp;NEWS=n&amp;CSC=Y&amp;PAGE=booktext&amp;D=books&amp;SC=02081102&amp;EPUB=Y")</f>
        <v>https://ovidsp.ovid.com/ovidweb.cgi?T=JS&amp;NEWS=n&amp;CSC=Y&amp;PAGE=booktext&amp;D=books&amp;SC=02081102&amp;EPUB=Y</v>
      </c>
      <c r="H844" s="8" t="s">
        <v>1795</v>
      </c>
    </row>
    <row r="845" spans="1:8" x14ac:dyDescent="0.3">
      <c r="A845" s="4" t="s">
        <v>946</v>
      </c>
      <c r="B845" s="5">
        <v>44893</v>
      </c>
      <c r="C845" s="6" t="s">
        <v>390</v>
      </c>
      <c r="D845" s="6" t="s">
        <v>1335</v>
      </c>
      <c r="E845" s="6" t="s">
        <v>2503</v>
      </c>
      <c r="F845" s="6" t="s">
        <v>1208</v>
      </c>
      <c r="G845" s="7" t="str">
        <f>HYPERLINK("https://ovidsp.ovid.com/ovidweb.cgi?T=JS&amp;NEWS=n&amp;CSC=Y&amp;PAGE=booktext&amp;D=books&amp;SC=01434966&amp;EPUB=Y","https://ovidsp.ovid.com/ovidweb.cgi?T=JS&amp;NEWS=n&amp;CSC=Y&amp;PAGE=booktext&amp;D=books&amp;SC=01434966&amp;EPUB=Y")</f>
        <v>https://ovidsp.ovid.com/ovidweb.cgi?T=JS&amp;NEWS=n&amp;CSC=Y&amp;PAGE=booktext&amp;D=books&amp;SC=01434966&amp;EPUB=Y</v>
      </c>
      <c r="H845" s="8" t="s">
        <v>1795</v>
      </c>
    </row>
    <row r="846" spans="1:8" x14ac:dyDescent="0.3">
      <c r="A846" s="4" t="s">
        <v>809</v>
      </c>
      <c r="B846" s="5">
        <v>44893</v>
      </c>
      <c r="C846" s="6" t="s">
        <v>1634</v>
      </c>
      <c r="D846" s="6" t="s">
        <v>1181</v>
      </c>
      <c r="E846" s="6" t="s">
        <v>2503</v>
      </c>
      <c r="F846" s="6" t="s">
        <v>1208</v>
      </c>
      <c r="G846" s="7" t="str">
        <f>HYPERLINK("https://ovidsp.ovid.com/ovidweb.cgi?T=JS&amp;NEWS=n&amp;CSC=Y&amp;PAGE=booktext&amp;D=books&amp;SC=01434648&amp;EPUB=Y","https://ovidsp.ovid.com/ovidweb.cgi?T=JS&amp;NEWS=n&amp;CSC=Y&amp;PAGE=booktext&amp;D=books&amp;SC=01434648&amp;EPUB=Y")</f>
        <v>https://ovidsp.ovid.com/ovidweb.cgi?T=JS&amp;NEWS=n&amp;CSC=Y&amp;PAGE=booktext&amp;D=books&amp;SC=01434648&amp;EPUB=Y</v>
      </c>
      <c r="H846" s="8" t="s">
        <v>1795</v>
      </c>
    </row>
    <row r="847" spans="1:8" x14ac:dyDescent="0.3">
      <c r="A847" s="4" t="s">
        <v>265</v>
      </c>
      <c r="B847" s="5">
        <v>44893</v>
      </c>
      <c r="C847" s="6" t="s">
        <v>1039</v>
      </c>
      <c r="D847" s="6" t="s">
        <v>656</v>
      </c>
      <c r="E847" s="6" t="s">
        <v>2503</v>
      </c>
      <c r="F847" s="6" t="s">
        <v>1208</v>
      </c>
      <c r="G847" s="7" t="str">
        <f>HYPERLINK("https://ovidsp.ovid.com/ovidweb.cgi?T=JS&amp;NEWS=n&amp;CSC=Y&amp;PAGE=booktext&amp;D=books&amp;SC=01731087&amp;EPUB=Y","https://ovidsp.ovid.com/ovidweb.cgi?T=JS&amp;NEWS=n&amp;CSC=Y&amp;PAGE=booktext&amp;D=books&amp;SC=01731087&amp;EPUB=Y")</f>
        <v>https://ovidsp.ovid.com/ovidweb.cgi?T=JS&amp;NEWS=n&amp;CSC=Y&amp;PAGE=booktext&amp;D=books&amp;SC=01731087&amp;EPUB=Y</v>
      </c>
      <c r="H847" s="8" t="s">
        <v>1795</v>
      </c>
    </row>
    <row r="848" spans="1:8" x14ac:dyDescent="0.3">
      <c r="A848" s="4" t="s">
        <v>1768</v>
      </c>
      <c r="B848" s="5">
        <v>44893</v>
      </c>
      <c r="C848" s="6" t="s">
        <v>1813</v>
      </c>
      <c r="D848" s="6" t="s">
        <v>647</v>
      </c>
      <c r="E848" s="6" t="s">
        <v>2503</v>
      </c>
      <c r="F848" s="6" t="s">
        <v>241</v>
      </c>
      <c r="G848" s="7" t="str">
        <f>HYPERLINK("https://ovidsp.ovid.com/ovidweb.cgi?T=JS&amp;NEWS=n&amp;CSC=Y&amp;PAGE=booktext&amp;D=books&amp;SC=01884388&amp;EPUB=Y","https://ovidsp.ovid.com/ovidweb.cgi?T=JS&amp;NEWS=n&amp;CSC=Y&amp;PAGE=booktext&amp;D=books&amp;SC=01884388&amp;EPUB=Y")</f>
        <v>https://ovidsp.ovid.com/ovidweb.cgi?T=JS&amp;NEWS=n&amp;CSC=Y&amp;PAGE=booktext&amp;D=books&amp;SC=01884388&amp;EPUB=Y</v>
      </c>
      <c r="H848" s="8" t="s">
        <v>1795</v>
      </c>
    </row>
    <row r="849" spans="1:8" x14ac:dyDescent="0.3">
      <c r="A849" s="4" t="s">
        <v>910</v>
      </c>
      <c r="B849" s="5">
        <v>44893</v>
      </c>
      <c r="C849" s="6" t="s">
        <v>621</v>
      </c>
      <c r="D849" s="6" t="s">
        <v>2547</v>
      </c>
      <c r="E849" s="6" t="s">
        <v>2503</v>
      </c>
      <c r="F849" s="6" t="s">
        <v>1208</v>
      </c>
      <c r="G849" s="7" t="str">
        <f>HYPERLINK("https://ovidsp.ovid.com/ovidweb.cgi?T=JS&amp;NEWS=n&amp;CSC=Y&amp;PAGE=booktext&amp;D=books&amp;SC=01434635&amp;EPUB=Y","https://ovidsp.ovid.com/ovidweb.cgi?T=JS&amp;NEWS=n&amp;CSC=Y&amp;PAGE=booktext&amp;D=books&amp;SC=01434635&amp;EPUB=Y")</f>
        <v>https://ovidsp.ovid.com/ovidweb.cgi?T=JS&amp;NEWS=n&amp;CSC=Y&amp;PAGE=booktext&amp;D=books&amp;SC=01434635&amp;EPUB=Y</v>
      </c>
      <c r="H849" s="8" t="s">
        <v>1795</v>
      </c>
    </row>
    <row r="850" spans="1:8" x14ac:dyDescent="0.3">
      <c r="A850" s="4" t="s">
        <v>2186</v>
      </c>
      <c r="B850" s="5">
        <v>44893</v>
      </c>
      <c r="C850" s="6" t="s">
        <v>925</v>
      </c>
      <c r="D850" s="6" t="s">
        <v>955</v>
      </c>
      <c r="E850" s="6" t="s">
        <v>2503</v>
      </c>
      <c r="F850" s="6" t="s">
        <v>1208</v>
      </c>
      <c r="G850" s="7" t="str">
        <f>HYPERLINK("https://ovidsp.ovid.com/ovidweb.cgi?T=JS&amp;NEWS=n&amp;CSC=Y&amp;PAGE=booktext&amp;D=books&amp;SC=01437832&amp;EPUB=Y","https://ovidsp.ovid.com/ovidweb.cgi?T=JS&amp;NEWS=n&amp;CSC=Y&amp;PAGE=booktext&amp;D=books&amp;SC=01437832&amp;EPUB=Y")</f>
        <v>https://ovidsp.ovid.com/ovidweb.cgi?T=JS&amp;NEWS=n&amp;CSC=Y&amp;PAGE=booktext&amp;D=books&amp;SC=01437832&amp;EPUB=Y</v>
      </c>
      <c r="H850" s="8" t="s">
        <v>1795</v>
      </c>
    </row>
    <row r="851" spans="1:8" x14ac:dyDescent="0.3">
      <c r="A851" s="4" t="s">
        <v>1452</v>
      </c>
      <c r="B851" s="5">
        <v>44893</v>
      </c>
      <c r="C851" s="6" t="s">
        <v>2367</v>
      </c>
      <c r="D851" s="6" t="s">
        <v>1643</v>
      </c>
      <c r="E851" s="6" t="s">
        <v>2503</v>
      </c>
      <c r="F851" s="6" t="s">
        <v>1208</v>
      </c>
      <c r="G851" s="7" t="str">
        <f>HYPERLINK("https://ovidsp.ovid.com/ovidweb.cgi?T=JS&amp;NEWS=n&amp;CSC=Y&amp;PAGE=booktext&amp;D=books&amp;SC=01434264&amp;EPUB=Y","https://ovidsp.ovid.com/ovidweb.cgi?T=JS&amp;NEWS=n&amp;CSC=Y&amp;PAGE=booktext&amp;D=books&amp;SC=01434264&amp;EPUB=Y")</f>
        <v>https://ovidsp.ovid.com/ovidweb.cgi?T=JS&amp;NEWS=n&amp;CSC=Y&amp;PAGE=booktext&amp;D=books&amp;SC=01434264&amp;EPUB=Y</v>
      </c>
      <c r="H851" s="8" t="s">
        <v>1795</v>
      </c>
    </row>
    <row r="852" spans="1:8" x14ac:dyDescent="0.3">
      <c r="A852" s="4" t="s">
        <v>2600</v>
      </c>
      <c r="B852" s="5">
        <v>44893</v>
      </c>
      <c r="C852" s="6" t="s">
        <v>1759</v>
      </c>
      <c r="D852" s="6" t="s">
        <v>1350</v>
      </c>
      <c r="E852" s="6" t="s">
        <v>2503</v>
      </c>
      <c r="F852" s="6" t="s">
        <v>1208</v>
      </c>
      <c r="G852" s="7" t="str">
        <f>HYPERLINK("https://ovidsp.ovid.com/ovidweb.cgi?T=JS&amp;NEWS=n&amp;CSC=Y&amp;PAGE=booktext&amp;D=books&amp;SC=01434509&amp;EPUB=Y","https://ovidsp.ovid.com/ovidweb.cgi?T=JS&amp;NEWS=n&amp;CSC=Y&amp;PAGE=booktext&amp;D=books&amp;SC=01434509&amp;EPUB=Y")</f>
        <v>https://ovidsp.ovid.com/ovidweb.cgi?T=JS&amp;NEWS=n&amp;CSC=Y&amp;PAGE=booktext&amp;D=books&amp;SC=01434509&amp;EPUB=Y</v>
      </c>
      <c r="H852" s="8" t="s">
        <v>1795</v>
      </c>
    </row>
    <row r="853" spans="1:8" x14ac:dyDescent="0.3">
      <c r="A853" s="4" t="s">
        <v>1860</v>
      </c>
      <c r="B853" s="5">
        <v>44893</v>
      </c>
      <c r="C853" s="6" t="s">
        <v>2367</v>
      </c>
      <c r="D853" s="6" t="s">
        <v>1643</v>
      </c>
      <c r="E853" s="6" t="s">
        <v>2503</v>
      </c>
      <c r="F853" s="6" t="s">
        <v>1208</v>
      </c>
      <c r="G853" s="7" t="str">
        <f>HYPERLINK("https://ovidsp.ovid.com/ovidweb.cgi?T=JS&amp;NEWS=n&amp;CSC=Y&amp;PAGE=booktext&amp;D=books&amp;SC=01434274&amp;EPUB=Y","https://ovidsp.ovid.com/ovidweb.cgi?T=JS&amp;NEWS=n&amp;CSC=Y&amp;PAGE=booktext&amp;D=books&amp;SC=01434274&amp;EPUB=Y")</f>
        <v>https://ovidsp.ovid.com/ovidweb.cgi?T=JS&amp;NEWS=n&amp;CSC=Y&amp;PAGE=booktext&amp;D=books&amp;SC=01434274&amp;EPUB=Y</v>
      </c>
      <c r="H853" s="8" t="s">
        <v>1795</v>
      </c>
    </row>
    <row r="854" spans="1:8" x14ac:dyDescent="0.3">
      <c r="A854" s="4" t="s">
        <v>1502</v>
      </c>
      <c r="B854" s="5">
        <v>44893</v>
      </c>
      <c r="C854" s="6" t="s">
        <v>1557</v>
      </c>
      <c r="D854" s="6" t="s">
        <v>552</v>
      </c>
      <c r="E854" s="6" t="s">
        <v>2503</v>
      </c>
      <c r="F854" s="6" t="s">
        <v>1208</v>
      </c>
      <c r="G854" s="7" t="str">
        <f>HYPERLINK("https://ovidsp.ovid.com/ovidweb.cgi?T=JS&amp;NEWS=n&amp;CSC=Y&amp;PAGE=booktext&amp;D=books&amp;SC=01781597&amp;EPUB=Y","https://ovidsp.ovid.com/ovidweb.cgi?T=JS&amp;NEWS=n&amp;CSC=Y&amp;PAGE=booktext&amp;D=books&amp;SC=01781597&amp;EPUB=Y")</f>
        <v>https://ovidsp.ovid.com/ovidweb.cgi?T=JS&amp;NEWS=n&amp;CSC=Y&amp;PAGE=booktext&amp;D=books&amp;SC=01781597&amp;EPUB=Y</v>
      </c>
      <c r="H854" s="8" t="s">
        <v>1795</v>
      </c>
    </row>
    <row r="855" spans="1:8" x14ac:dyDescent="0.3">
      <c r="A855" s="4" t="s">
        <v>2108</v>
      </c>
      <c r="B855" s="5">
        <v>44893</v>
      </c>
      <c r="C855" s="6" t="s">
        <v>2367</v>
      </c>
      <c r="D855" s="6" t="s">
        <v>1643</v>
      </c>
      <c r="E855" s="6" t="s">
        <v>2503</v>
      </c>
      <c r="F855" s="6" t="s">
        <v>1208</v>
      </c>
      <c r="G855" s="7" t="str">
        <f>HYPERLINK("https://ovidsp.ovid.com/ovidweb.cgi?T=JS&amp;NEWS=n&amp;CSC=Y&amp;PAGE=booktext&amp;D=books&amp;SC=01434487&amp;EPUB=Y","https://ovidsp.ovid.com/ovidweb.cgi?T=JS&amp;NEWS=n&amp;CSC=Y&amp;PAGE=booktext&amp;D=books&amp;SC=01434487&amp;EPUB=Y")</f>
        <v>https://ovidsp.ovid.com/ovidweb.cgi?T=JS&amp;NEWS=n&amp;CSC=Y&amp;PAGE=booktext&amp;D=books&amp;SC=01434487&amp;EPUB=Y</v>
      </c>
      <c r="H855" s="8" t="s">
        <v>1795</v>
      </c>
    </row>
    <row r="856" spans="1:8" x14ac:dyDescent="0.3">
      <c r="A856" s="4" t="s">
        <v>942</v>
      </c>
      <c r="B856" s="5">
        <v>44893</v>
      </c>
      <c r="C856" s="6" t="s">
        <v>416</v>
      </c>
      <c r="D856" s="6" t="s">
        <v>21</v>
      </c>
      <c r="E856" s="6" t="s">
        <v>2503</v>
      </c>
      <c r="F856" s="6" t="s">
        <v>241</v>
      </c>
      <c r="G856" s="7" t="str">
        <f>HYPERLINK("https://ovidsp.ovid.com/ovidweb.cgi?T=JS&amp;NEWS=n&amp;CSC=Y&amp;PAGE=booktext&amp;D=books&amp;SC=01768414&amp;EPUB=Y","https://ovidsp.ovid.com/ovidweb.cgi?T=JS&amp;NEWS=n&amp;CSC=Y&amp;PAGE=booktext&amp;D=books&amp;SC=01768414&amp;EPUB=Y")</f>
        <v>https://ovidsp.ovid.com/ovidweb.cgi?T=JS&amp;NEWS=n&amp;CSC=Y&amp;PAGE=booktext&amp;D=books&amp;SC=01768414&amp;EPUB=Y</v>
      </c>
      <c r="H856" s="8" t="s">
        <v>1795</v>
      </c>
    </row>
    <row r="857" spans="1:8" x14ac:dyDescent="0.3">
      <c r="A857" s="4" t="s">
        <v>942</v>
      </c>
      <c r="B857" s="5">
        <v>44893</v>
      </c>
      <c r="C857" s="6" t="s">
        <v>2367</v>
      </c>
      <c r="D857" s="6" t="s">
        <v>1643</v>
      </c>
      <c r="E857" s="6" t="s">
        <v>2503</v>
      </c>
      <c r="F857" s="6" t="s">
        <v>1208</v>
      </c>
      <c r="G857" s="7" t="str">
        <f>HYPERLINK("https://ovidsp.ovid.com/ovidweb.cgi?T=JS&amp;NEWS=n&amp;CSC=Y&amp;PAGE=booktext&amp;D=books&amp;SC=01434265&amp;EPUB=Y","https://ovidsp.ovid.com/ovidweb.cgi?T=JS&amp;NEWS=n&amp;CSC=Y&amp;PAGE=booktext&amp;D=books&amp;SC=01434265&amp;EPUB=Y")</f>
        <v>https://ovidsp.ovid.com/ovidweb.cgi?T=JS&amp;NEWS=n&amp;CSC=Y&amp;PAGE=booktext&amp;D=books&amp;SC=01434265&amp;EPUB=Y</v>
      </c>
      <c r="H857" s="8" t="s">
        <v>1795</v>
      </c>
    </row>
    <row r="858" spans="1:8" x14ac:dyDescent="0.3">
      <c r="A858" s="4" t="s">
        <v>195</v>
      </c>
      <c r="B858" s="5">
        <v>44893</v>
      </c>
      <c r="C858" s="6" t="s">
        <v>2367</v>
      </c>
      <c r="D858" s="6" t="s">
        <v>1643</v>
      </c>
      <c r="E858" s="6" t="s">
        <v>2503</v>
      </c>
      <c r="F858" s="6" t="s">
        <v>1208</v>
      </c>
      <c r="G858" s="7" t="str">
        <f>HYPERLINK("https://ovidsp.ovid.com/ovidweb.cgi?T=JS&amp;NEWS=n&amp;CSC=Y&amp;PAGE=booktext&amp;D=books&amp;SC=01434249&amp;EPUB=Y","https://ovidsp.ovid.com/ovidweb.cgi?T=JS&amp;NEWS=n&amp;CSC=Y&amp;PAGE=booktext&amp;D=books&amp;SC=01434249&amp;EPUB=Y")</f>
        <v>https://ovidsp.ovid.com/ovidweb.cgi?T=JS&amp;NEWS=n&amp;CSC=Y&amp;PAGE=booktext&amp;D=books&amp;SC=01434249&amp;EPUB=Y</v>
      </c>
      <c r="H858" s="8" t="s">
        <v>1795</v>
      </c>
    </row>
    <row r="859" spans="1:8" x14ac:dyDescent="0.3">
      <c r="A859" s="4" t="s">
        <v>714</v>
      </c>
      <c r="B859" s="5">
        <v>44893</v>
      </c>
      <c r="C859" s="6" t="s">
        <v>2367</v>
      </c>
      <c r="D859" s="6" t="s">
        <v>1643</v>
      </c>
      <c r="E859" s="6" t="s">
        <v>2503</v>
      </c>
      <c r="F859" s="6" t="s">
        <v>1208</v>
      </c>
      <c r="G859" s="7" t="str">
        <f>HYPERLINK("https://ovidsp.ovid.com/ovidweb.cgi?T=JS&amp;NEWS=n&amp;CSC=Y&amp;PAGE=booktext&amp;D=books&amp;SC=01434399&amp;EPUB=Y","https://ovidsp.ovid.com/ovidweb.cgi?T=JS&amp;NEWS=n&amp;CSC=Y&amp;PAGE=booktext&amp;D=books&amp;SC=01434399&amp;EPUB=Y")</f>
        <v>https://ovidsp.ovid.com/ovidweb.cgi?T=JS&amp;NEWS=n&amp;CSC=Y&amp;PAGE=booktext&amp;D=books&amp;SC=01434399&amp;EPUB=Y</v>
      </c>
      <c r="H859" s="8" t="s">
        <v>1795</v>
      </c>
    </row>
    <row r="860" spans="1:8" x14ac:dyDescent="0.3">
      <c r="A860" s="4" t="s">
        <v>178</v>
      </c>
      <c r="B860" s="5">
        <v>44893</v>
      </c>
      <c r="C860" s="6" t="s">
        <v>1746</v>
      </c>
      <c r="D860" s="6" t="s">
        <v>2423</v>
      </c>
      <c r="E860" s="6" t="s">
        <v>2503</v>
      </c>
      <c r="F860" s="6" t="s">
        <v>1208</v>
      </c>
      <c r="G860" s="7" t="str">
        <f>HYPERLINK("https://ovidsp.ovid.com/ovidweb.cgi?T=JS&amp;NEWS=n&amp;CSC=Y&amp;PAGE=booktext&amp;D=books&amp;SC=01434609&amp;EPUB=Y","https://ovidsp.ovid.com/ovidweb.cgi?T=JS&amp;NEWS=n&amp;CSC=Y&amp;PAGE=booktext&amp;D=books&amp;SC=01434609&amp;EPUB=Y")</f>
        <v>https://ovidsp.ovid.com/ovidweb.cgi?T=JS&amp;NEWS=n&amp;CSC=Y&amp;PAGE=booktext&amp;D=books&amp;SC=01434609&amp;EPUB=Y</v>
      </c>
      <c r="H860" s="8" t="s">
        <v>1795</v>
      </c>
    </row>
    <row r="861" spans="1:8" x14ac:dyDescent="0.3">
      <c r="A861" s="4" t="s">
        <v>634</v>
      </c>
      <c r="B861" s="5">
        <v>44893</v>
      </c>
      <c r="C861" s="6" t="s">
        <v>2367</v>
      </c>
      <c r="D861" s="6" t="s">
        <v>1643</v>
      </c>
      <c r="E861" s="6" t="s">
        <v>2503</v>
      </c>
      <c r="F861" s="6" t="s">
        <v>1208</v>
      </c>
      <c r="G861" s="7" t="str">
        <f>HYPERLINK("https://ovidsp.ovid.com/ovidweb.cgi?T=JS&amp;NEWS=n&amp;CSC=Y&amp;PAGE=booktext&amp;D=books&amp;SC=01434266&amp;EPUB=Y","https://ovidsp.ovid.com/ovidweb.cgi?T=JS&amp;NEWS=n&amp;CSC=Y&amp;PAGE=booktext&amp;D=books&amp;SC=01434266&amp;EPUB=Y")</f>
        <v>https://ovidsp.ovid.com/ovidweb.cgi?T=JS&amp;NEWS=n&amp;CSC=Y&amp;PAGE=booktext&amp;D=books&amp;SC=01434266&amp;EPUB=Y</v>
      </c>
      <c r="H861" s="8" t="s">
        <v>1795</v>
      </c>
    </row>
    <row r="862" spans="1:8" x14ac:dyDescent="0.3">
      <c r="A862" s="4" t="s">
        <v>1247</v>
      </c>
      <c r="B862" s="5">
        <v>44893</v>
      </c>
      <c r="C862" s="6" t="s">
        <v>1691</v>
      </c>
      <c r="D862" s="6" t="s">
        <v>1977</v>
      </c>
      <c r="E862" s="6" t="s">
        <v>2503</v>
      </c>
      <c r="F862" s="6" t="s">
        <v>241</v>
      </c>
      <c r="G862" s="7" t="str">
        <f>HYPERLINK("https://ovidsp.ovid.com/ovidweb.cgi?T=JS&amp;NEWS=n&amp;CSC=Y&amp;PAGE=booktext&amp;D=books&amp;SC=02008439&amp;EPUB=Y","https://ovidsp.ovid.com/ovidweb.cgi?T=JS&amp;NEWS=n&amp;CSC=Y&amp;PAGE=booktext&amp;D=books&amp;SC=02008439&amp;EPUB=Y")</f>
        <v>https://ovidsp.ovid.com/ovidweb.cgi?T=JS&amp;NEWS=n&amp;CSC=Y&amp;PAGE=booktext&amp;D=books&amp;SC=02008439&amp;EPUB=Y</v>
      </c>
      <c r="H862" s="8" t="s">
        <v>1795</v>
      </c>
    </row>
    <row r="863" spans="1:8" x14ac:dyDescent="0.3">
      <c r="A863" s="4" t="s">
        <v>158</v>
      </c>
      <c r="B863" s="5">
        <v>44893</v>
      </c>
      <c r="C863" s="6" t="s">
        <v>1298</v>
      </c>
      <c r="D863" s="6" t="s">
        <v>1490</v>
      </c>
      <c r="E863" s="6" t="s">
        <v>2503</v>
      </c>
      <c r="F863" s="6" t="s">
        <v>1208</v>
      </c>
      <c r="G863" s="7" t="str">
        <f>HYPERLINK("https://ovidsp.ovid.com/ovidweb.cgi?T=JS&amp;NEWS=n&amp;CSC=Y&amp;PAGE=booktext&amp;D=books&amp;SC=01434604&amp;EPUB=Y","https://ovidsp.ovid.com/ovidweb.cgi?T=JS&amp;NEWS=n&amp;CSC=Y&amp;PAGE=booktext&amp;D=books&amp;SC=01434604&amp;EPUB=Y")</f>
        <v>https://ovidsp.ovid.com/ovidweb.cgi?T=JS&amp;NEWS=n&amp;CSC=Y&amp;PAGE=booktext&amp;D=books&amp;SC=01434604&amp;EPUB=Y</v>
      </c>
      <c r="H863" s="8" t="s">
        <v>1795</v>
      </c>
    </row>
    <row r="864" spans="1:8" x14ac:dyDescent="0.3">
      <c r="A864" s="4" t="s">
        <v>1707</v>
      </c>
      <c r="B864" s="5">
        <v>44893</v>
      </c>
      <c r="C864" s="6" t="s">
        <v>2367</v>
      </c>
      <c r="D864" s="6" t="s">
        <v>1643</v>
      </c>
      <c r="E864" s="6" t="s">
        <v>2503</v>
      </c>
      <c r="F864" s="6" t="s">
        <v>1208</v>
      </c>
      <c r="G864" s="7" t="str">
        <f>HYPERLINK("https://ovidsp.ovid.com/ovidweb.cgi?T=JS&amp;NEWS=n&amp;CSC=Y&amp;PAGE=booktext&amp;D=books&amp;SC=01434305&amp;EPUB=Y","https://ovidsp.ovid.com/ovidweb.cgi?T=JS&amp;NEWS=n&amp;CSC=Y&amp;PAGE=booktext&amp;D=books&amp;SC=01434305&amp;EPUB=Y")</f>
        <v>https://ovidsp.ovid.com/ovidweb.cgi?T=JS&amp;NEWS=n&amp;CSC=Y&amp;PAGE=booktext&amp;D=books&amp;SC=01434305&amp;EPUB=Y</v>
      </c>
      <c r="H864" s="8" t="s">
        <v>1795</v>
      </c>
    </row>
    <row r="865" spans="1:8" x14ac:dyDescent="0.3">
      <c r="A865" s="4" t="s">
        <v>1673</v>
      </c>
      <c r="B865" s="5">
        <v>44893</v>
      </c>
      <c r="C865" s="6" t="s">
        <v>2367</v>
      </c>
      <c r="D865" s="6" t="s">
        <v>1643</v>
      </c>
      <c r="E865" s="6" t="s">
        <v>2503</v>
      </c>
      <c r="F865" s="6" t="s">
        <v>1208</v>
      </c>
      <c r="G865" s="7" t="str">
        <f>HYPERLINK("https://ovidsp.ovid.com/ovidweb.cgi?T=JS&amp;NEWS=n&amp;CSC=Y&amp;PAGE=booktext&amp;D=books&amp;SC=01434444&amp;EPUB=Y","https://ovidsp.ovid.com/ovidweb.cgi?T=JS&amp;NEWS=n&amp;CSC=Y&amp;PAGE=booktext&amp;D=books&amp;SC=01434444&amp;EPUB=Y")</f>
        <v>https://ovidsp.ovid.com/ovidweb.cgi?T=JS&amp;NEWS=n&amp;CSC=Y&amp;PAGE=booktext&amp;D=books&amp;SC=01434444&amp;EPUB=Y</v>
      </c>
      <c r="H865" s="8" t="s">
        <v>1795</v>
      </c>
    </row>
    <row r="866" spans="1:8" x14ac:dyDescent="0.3">
      <c r="A866" s="4" t="s">
        <v>736</v>
      </c>
      <c r="B866" s="5">
        <v>44893</v>
      </c>
      <c r="C866" s="6" t="s">
        <v>768</v>
      </c>
      <c r="D866" s="6" t="s">
        <v>1275</v>
      </c>
      <c r="E866" s="6" t="s">
        <v>2503</v>
      </c>
      <c r="F866" s="6" t="s">
        <v>1208</v>
      </c>
      <c r="G866" s="7" t="str">
        <f>HYPERLINK("https://ovidsp.ovid.com/ovidweb.cgi?T=JS&amp;NEWS=n&amp;CSC=Y&amp;PAGE=booktext&amp;D=books&amp;SC=02102016&amp;EPUB=Y","https://ovidsp.ovid.com/ovidweb.cgi?T=JS&amp;NEWS=n&amp;CSC=Y&amp;PAGE=booktext&amp;D=books&amp;SC=02102016&amp;EPUB=Y")</f>
        <v>https://ovidsp.ovid.com/ovidweb.cgi?T=JS&amp;NEWS=n&amp;CSC=Y&amp;PAGE=booktext&amp;D=books&amp;SC=02102016&amp;EPUB=Y</v>
      </c>
      <c r="H866" s="8" t="s">
        <v>1795</v>
      </c>
    </row>
    <row r="867" spans="1:8" x14ac:dyDescent="0.3">
      <c r="A867" s="4" t="s">
        <v>1607</v>
      </c>
      <c r="B867" s="5">
        <v>44893</v>
      </c>
      <c r="C867" s="6" t="s">
        <v>2367</v>
      </c>
      <c r="D867" s="6" t="s">
        <v>1643</v>
      </c>
      <c r="E867" s="6" t="s">
        <v>2503</v>
      </c>
      <c r="F867" s="6" t="s">
        <v>241</v>
      </c>
      <c r="G867" s="7" t="str">
        <f>HYPERLINK("https://ovidsp.ovid.com/ovidweb.cgi?T=JS&amp;NEWS=n&amp;CSC=Y&amp;PAGE=booktext&amp;D=books&amp;SC=01434239&amp;EPUB=Y","https://ovidsp.ovid.com/ovidweb.cgi?T=JS&amp;NEWS=n&amp;CSC=Y&amp;PAGE=booktext&amp;D=books&amp;SC=01434239&amp;EPUB=Y")</f>
        <v>https://ovidsp.ovid.com/ovidweb.cgi?T=JS&amp;NEWS=n&amp;CSC=Y&amp;PAGE=booktext&amp;D=books&amp;SC=01434239&amp;EPUB=Y</v>
      </c>
      <c r="H867" s="8" t="s">
        <v>1795</v>
      </c>
    </row>
    <row r="868" spans="1:8" x14ac:dyDescent="0.3">
      <c r="A868" s="4" t="s">
        <v>1607</v>
      </c>
      <c r="B868" s="5">
        <v>44893</v>
      </c>
      <c r="C868" s="6" t="s">
        <v>1009</v>
      </c>
      <c r="D868" s="6" t="s">
        <v>84</v>
      </c>
      <c r="E868" s="6" t="s">
        <v>2503</v>
      </c>
      <c r="F868" s="6" t="s">
        <v>619</v>
      </c>
      <c r="G868" s="7" t="str">
        <f>HYPERLINK("https://ovidsp.ovid.com/ovidweb.cgi?T=JS&amp;NEWS=n&amp;CSC=Y&amp;PAGE=booktext&amp;D=books&amp;SC=01787205&amp;EPUB=Y","https://ovidsp.ovid.com/ovidweb.cgi?T=JS&amp;NEWS=n&amp;CSC=Y&amp;PAGE=booktext&amp;D=books&amp;SC=01787205&amp;EPUB=Y")</f>
        <v>https://ovidsp.ovid.com/ovidweb.cgi?T=JS&amp;NEWS=n&amp;CSC=Y&amp;PAGE=booktext&amp;D=books&amp;SC=01787205&amp;EPUB=Y</v>
      </c>
      <c r="H868" s="8" t="s">
        <v>1795</v>
      </c>
    </row>
    <row r="869" spans="1:8" x14ac:dyDescent="0.3">
      <c r="A869" s="4" t="s">
        <v>78</v>
      </c>
      <c r="B869" s="5">
        <v>44893</v>
      </c>
      <c r="C869" s="6" t="s">
        <v>2367</v>
      </c>
      <c r="D869" s="6" t="s">
        <v>1643</v>
      </c>
      <c r="E869" s="6" t="s">
        <v>2503</v>
      </c>
      <c r="F869" s="6" t="s">
        <v>1208</v>
      </c>
      <c r="G869" s="7" t="str">
        <f>HYPERLINK("https://ovidsp.ovid.com/ovidweb.cgi?T=JS&amp;NEWS=n&amp;CSC=Y&amp;PAGE=booktext&amp;D=books&amp;SC=01434571&amp;EPUB=Y","https://ovidsp.ovid.com/ovidweb.cgi?T=JS&amp;NEWS=n&amp;CSC=Y&amp;PAGE=booktext&amp;D=books&amp;SC=01434571&amp;EPUB=Y")</f>
        <v>https://ovidsp.ovid.com/ovidweb.cgi?T=JS&amp;NEWS=n&amp;CSC=Y&amp;PAGE=booktext&amp;D=books&amp;SC=01434571&amp;EPUB=Y</v>
      </c>
      <c r="H869" s="8" t="s">
        <v>1795</v>
      </c>
    </row>
    <row r="870" spans="1:8" x14ac:dyDescent="0.3">
      <c r="A870" s="4" t="s">
        <v>1919</v>
      </c>
      <c r="B870" s="5">
        <v>44893</v>
      </c>
      <c r="C870" s="6" t="s">
        <v>1078</v>
      </c>
      <c r="D870" s="6" t="s">
        <v>1386</v>
      </c>
      <c r="E870" s="6" t="s">
        <v>2503</v>
      </c>
      <c r="F870" s="6" t="s">
        <v>1208</v>
      </c>
      <c r="G870" s="7" t="str">
        <f>HYPERLINK("https://ovidsp.ovid.com/ovidweb.cgi?T=JS&amp;NEWS=n&amp;CSC=Y&amp;PAGE=booktext&amp;D=books&amp;SC=01838259&amp;EPUB=Y","https://ovidsp.ovid.com/ovidweb.cgi?T=JS&amp;NEWS=n&amp;CSC=Y&amp;PAGE=booktext&amp;D=books&amp;SC=01838259&amp;EPUB=Y")</f>
        <v>https://ovidsp.ovid.com/ovidweb.cgi?T=JS&amp;NEWS=n&amp;CSC=Y&amp;PAGE=booktext&amp;D=books&amp;SC=01838259&amp;EPUB=Y</v>
      </c>
      <c r="H870" s="8" t="s">
        <v>1795</v>
      </c>
    </row>
    <row r="871" spans="1:8" x14ac:dyDescent="0.3">
      <c r="A871" s="4" t="s">
        <v>253</v>
      </c>
      <c r="B871" s="5">
        <v>44893</v>
      </c>
      <c r="C871" s="6" t="s">
        <v>1130</v>
      </c>
      <c r="D871" s="6" t="s">
        <v>627</v>
      </c>
      <c r="E871" s="6" t="s">
        <v>2503</v>
      </c>
      <c r="F871" s="6" t="s">
        <v>1208</v>
      </c>
      <c r="G871" s="7" t="str">
        <f>HYPERLINK("https://ovidsp.ovid.com/ovidweb.cgi?T=JS&amp;NEWS=n&amp;CSC=Y&amp;PAGE=booktext&amp;D=books&amp;SC=01647965&amp;EPUB=Y","https://ovidsp.ovid.com/ovidweb.cgi?T=JS&amp;NEWS=n&amp;CSC=Y&amp;PAGE=booktext&amp;D=books&amp;SC=01647965&amp;EPUB=Y")</f>
        <v>https://ovidsp.ovid.com/ovidweb.cgi?T=JS&amp;NEWS=n&amp;CSC=Y&amp;PAGE=booktext&amp;D=books&amp;SC=01647965&amp;EPUB=Y</v>
      </c>
      <c r="H871" s="8" t="s">
        <v>1795</v>
      </c>
    </row>
    <row r="872" spans="1:8" x14ac:dyDescent="0.3">
      <c r="A872" s="4" t="s">
        <v>1364</v>
      </c>
      <c r="B872" s="5">
        <v>44893</v>
      </c>
      <c r="C872" s="6" t="s">
        <v>2214</v>
      </c>
      <c r="D872" s="6" t="s">
        <v>2040</v>
      </c>
      <c r="E872" s="6" t="s">
        <v>2503</v>
      </c>
      <c r="F872" s="6" t="s">
        <v>1208</v>
      </c>
      <c r="G872" s="7" t="str">
        <f>HYPERLINK("https://ovidsp.ovid.com/ovidweb.cgi?T=JS&amp;NEWS=n&amp;CSC=Y&amp;PAGE=booktext&amp;D=books&amp;SC=02050052&amp;EPUB=Y","https://ovidsp.ovid.com/ovidweb.cgi?T=JS&amp;NEWS=n&amp;CSC=Y&amp;PAGE=booktext&amp;D=books&amp;SC=02050052&amp;EPUB=Y")</f>
        <v>https://ovidsp.ovid.com/ovidweb.cgi?T=JS&amp;NEWS=n&amp;CSC=Y&amp;PAGE=booktext&amp;D=books&amp;SC=02050052&amp;EPUB=Y</v>
      </c>
      <c r="H872" s="8" t="s">
        <v>1795</v>
      </c>
    </row>
    <row r="873" spans="1:8" x14ac:dyDescent="0.3">
      <c r="A873" s="4" t="s">
        <v>1984</v>
      </c>
      <c r="B873" s="5">
        <v>44893</v>
      </c>
      <c r="C873" s="6" t="s">
        <v>2367</v>
      </c>
      <c r="D873" s="6" t="s">
        <v>1643</v>
      </c>
      <c r="E873" s="6" t="s">
        <v>2503</v>
      </c>
      <c r="F873" s="6" t="s">
        <v>1208</v>
      </c>
      <c r="G873" s="7" t="str">
        <f>HYPERLINK("https://ovidsp.ovid.com/ovidweb.cgi?T=JS&amp;NEWS=n&amp;CSC=Y&amp;PAGE=booktext&amp;D=books&amp;SC=01434330&amp;EPUB=Y","https://ovidsp.ovid.com/ovidweb.cgi?T=JS&amp;NEWS=n&amp;CSC=Y&amp;PAGE=booktext&amp;D=books&amp;SC=01434330&amp;EPUB=Y")</f>
        <v>https://ovidsp.ovid.com/ovidweb.cgi?T=JS&amp;NEWS=n&amp;CSC=Y&amp;PAGE=booktext&amp;D=books&amp;SC=01434330&amp;EPUB=Y</v>
      </c>
      <c r="H873" s="8" t="s">
        <v>1795</v>
      </c>
    </row>
    <row r="874" spans="1:8" x14ac:dyDescent="0.3">
      <c r="A874" s="4" t="s">
        <v>1171</v>
      </c>
      <c r="B874" s="5">
        <v>44893</v>
      </c>
      <c r="C874" s="6" t="s">
        <v>2367</v>
      </c>
      <c r="D874" s="6" t="s">
        <v>1643</v>
      </c>
      <c r="E874" s="6" t="s">
        <v>2503</v>
      </c>
      <c r="F874" s="6" t="s">
        <v>1208</v>
      </c>
      <c r="G874" s="7" t="str">
        <f>HYPERLINK("https://ovidsp.ovid.com/ovidweb.cgi?T=JS&amp;NEWS=n&amp;CSC=Y&amp;PAGE=booktext&amp;D=books&amp;SC=01434372&amp;EPUB=Y","https://ovidsp.ovid.com/ovidweb.cgi?T=JS&amp;NEWS=n&amp;CSC=Y&amp;PAGE=booktext&amp;D=books&amp;SC=01434372&amp;EPUB=Y")</f>
        <v>https://ovidsp.ovid.com/ovidweb.cgi?T=JS&amp;NEWS=n&amp;CSC=Y&amp;PAGE=booktext&amp;D=books&amp;SC=01434372&amp;EPUB=Y</v>
      </c>
      <c r="H874" s="8" t="s">
        <v>1795</v>
      </c>
    </row>
    <row r="875" spans="1:8" x14ac:dyDescent="0.3">
      <c r="A875" s="4" t="s">
        <v>128</v>
      </c>
      <c r="B875" s="5">
        <v>44893</v>
      </c>
      <c r="C875" s="6" t="s">
        <v>2560</v>
      </c>
      <c r="D875" s="6" t="s">
        <v>359</v>
      </c>
      <c r="E875" s="6" t="s">
        <v>2503</v>
      </c>
      <c r="F875" s="6" t="s">
        <v>1208</v>
      </c>
      <c r="G875" s="7" t="str">
        <f>HYPERLINK("https://ovidsp.ovid.com/ovidweb.cgi?T=JS&amp;NEWS=n&amp;CSC=Y&amp;PAGE=booktext&amp;D=books&amp;SC=01714653&amp;EPUB=Y","https://ovidsp.ovid.com/ovidweb.cgi?T=JS&amp;NEWS=n&amp;CSC=Y&amp;PAGE=booktext&amp;D=books&amp;SC=01714653&amp;EPUB=Y")</f>
        <v>https://ovidsp.ovid.com/ovidweb.cgi?T=JS&amp;NEWS=n&amp;CSC=Y&amp;PAGE=booktext&amp;D=books&amp;SC=01714653&amp;EPUB=Y</v>
      </c>
      <c r="H875" s="8" t="s">
        <v>1795</v>
      </c>
    </row>
    <row r="876" spans="1:8" x14ac:dyDescent="0.3">
      <c r="A876" s="4" t="s">
        <v>2106</v>
      </c>
      <c r="B876" s="5">
        <v>44893</v>
      </c>
      <c r="C876" s="6" t="s">
        <v>2100</v>
      </c>
      <c r="D876" s="6" t="s">
        <v>54</v>
      </c>
      <c r="E876" s="6" t="s">
        <v>2503</v>
      </c>
      <c r="F876" s="6" t="s">
        <v>241</v>
      </c>
      <c r="G876" s="7" t="str">
        <f>HYPERLINK("https://ovidsp.ovid.com/ovidweb.cgi?T=JS&amp;NEWS=n&amp;CSC=Y&amp;PAGE=booktext&amp;D=books&amp;SC=01817245&amp;EPUB=Y","https://ovidsp.ovid.com/ovidweb.cgi?T=JS&amp;NEWS=n&amp;CSC=Y&amp;PAGE=booktext&amp;D=books&amp;SC=01817245&amp;EPUB=Y")</f>
        <v>https://ovidsp.ovid.com/ovidweb.cgi?T=JS&amp;NEWS=n&amp;CSC=Y&amp;PAGE=booktext&amp;D=books&amp;SC=01817245&amp;EPUB=Y</v>
      </c>
      <c r="H876" s="8" t="s">
        <v>1795</v>
      </c>
    </row>
    <row r="877" spans="1:8" x14ac:dyDescent="0.3">
      <c r="A877" s="4" t="s">
        <v>2106</v>
      </c>
      <c r="B877" s="5">
        <v>44893</v>
      </c>
      <c r="C877" s="6" t="s">
        <v>1327</v>
      </c>
      <c r="D877" s="6" t="s">
        <v>767</v>
      </c>
      <c r="E877" s="6" t="s">
        <v>2503</v>
      </c>
      <c r="F877" s="6" t="s">
        <v>619</v>
      </c>
      <c r="G877" s="7" t="str">
        <f>HYPERLINK("https://ovidsp.ovid.com/ovidweb.cgi?T=JS&amp;NEWS=n&amp;CSC=Y&amp;PAGE=booktext&amp;D=books&amp;SC=02148823&amp;EPUB=Y","https://ovidsp.ovid.com/ovidweb.cgi?T=JS&amp;NEWS=n&amp;CSC=Y&amp;PAGE=booktext&amp;D=books&amp;SC=02148823&amp;EPUB=Y")</f>
        <v>https://ovidsp.ovid.com/ovidweb.cgi?T=JS&amp;NEWS=n&amp;CSC=Y&amp;PAGE=booktext&amp;D=books&amp;SC=02148823&amp;EPUB=Y</v>
      </c>
      <c r="H877" s="8" t="s">
        <v>1795</v>
      </c>
    </row>
    <row r="878" spans="1:8" x14ac:dyDescent="0.3">
      <c r="A878" s="4" t="s">
        <v>485</v>
      </c>
      <c r="B878" s="5">
        <v>44893</v>
      </c>
      <c r="C878" s="6" t="s">
        <v>1026</v>
      </c>
      <c r="D878" s="6" t="s">
        <v>545</v>
      </c>
      <c r="E878" s="6" t="s">
        <v>2503</v>
      </c>
      <c r="F878" s="6" t="s">
        <v>1208</v>
      </c>
      <c r="G878" s="7" t="str">
        <f>HYPERLINK("https://ovidsp.ovid.com/ovidweb.cgi?T=JS&amp;NEWS=n&amp;CSC=Y&amp;PAGE=booktext&amp;D=books&amp;SC=01434488&amp;EPUB=Y","https://ovidsp.ovid.com/ovidweb.cgi?T=JS&amp;NEWS=n&amp;CSC=Y&amp;PAGE=booktext&amp;D=books&amp;SC=01434488&amp;EPUB=Y")</f>
        <v>https://ovidsp.ovid.com/ovidweb.cgi?T=JS&amp;NEWS=n&amp;CSC=Y&amp;PAGE=booktext&amp;D=books&amp;SC=01434488&amp;EPUB=Y</v>
      </c>
      <c r="H878" s="8" t="s">
        <v>1795</v>
      </c>
    </row>
    <row r="879" spans="1:8" x14ac:dyDescent="0.3">
      <c r="A879" s="4" t="s">
        <v>12</v>
      </c>
      <c r="B879" s="5">
        <v>44893</v>
      </c>
      <c r="C879" s="6" t="s">
        <v>2168</v>
      </c>
      <c r="D879" s="6" t="s">
        <v>1717</v>
      </c>
      <c r="E879" s="6" t="s">
        <v>2503</v>
      </c>
      <c r="F879" s="6" t="s">
        <v>1208</v>
      </c>
      <c r="G879" s="7" t="str">
        <f>HYPERLINK("https://ovidsp.ovid.com/ovidweb.cgi?T=JS&amp;NEWS=n&amp;CSC=Y&amp;PAGE=booktext&amp;D=books&amp;SC=02200507&amp;EPUB=Y","https://ovidsp.ovid.com/ovidweb.cgi?T=JS&amp;NEWS=n&amp;CSC=Y&amp;PAGE=booktext&amp;D=books&amp;SC=02200507&amp;EPUB=Y")</f>
        <v>https://ovidsp.ovid.com/ovidweb.cgi?T=JS&amp;NEWS=n&amp;CSC=Y&amp;PAGE=booktext&amp;D=books&amp;SC=02200507&amp;EPUB=Y</v>
      </c>
      <c r="H879" s="8" t="s">
        <v>1795</v>
      </c>
    </row>
    <row r="880" spans="1:8" x14ac:dyDescent="0.3">
      <c r="A880" s="4" t="s">
        <v>975</v>
      </c>
      <c r="B880" s="5">
        <v>44893</v>
      </c>
      <c r="C880" s="6" t="s">
        <v>551</v>
      </c>
      <c r="D880" s="6" t="s">
        <v>2240</v>
      </c>
      <c r="E880" s="6" t="s">
        <v>2503</v>
      </c>
      <c r="F880" s="6" t="s">
        <v>1208</v>
      </c>
      <c r="G880" s="7" t="str">
        <f>HYPERLINK("https://ovidsp.ovid.com/ovidweb.cgi?T=JS&amp;NEWS=n&amp;CSC=Y&amp;PAGE=booktext&amp;D=books&amp;SC=01933623&amp;EPUB=Y","https://ovidsp.ovid.com/ovidweb.cgi?T=JS&amp;NEWS=n&amp;CSC=Y&amp;PAGE=booktext&amp;D=books&amp;SC=01933623&amp;EPUB=Y")</f>
        <v>https://ovidsp.ovid.com/ovidweb.cgi?T=JS&amp;NEWS=n&amp;CSC=Y&amp;PAGE=booktext&amp;D=books&amp;SC=01933623&amp;EPUB=Y</v>
      </c>
      <c r="H880" s="8" t="s">
        <v>1795</v>
      </c>
    </row>
    <row r="881" spans="1:8" x14ac:dyDescent="0.3">
      <c r="A881" s="4" t="s">
        <v>2379</v>
      </c>
      <c r="B881" s="5">
        <v>44893</v>
      </c>
      <c r="C881" s="6" t="s">
        <v>1689</v>
      </c>
      <c r="D881" s="6" t="s">
        <v>363</v>
      </c>
      <c r="E881" s="6" t="s">
        <v>2503</v>
      </c>
      <c r="F881" s="6" t="s">
        <v>1208</v>
      </c>
      <c r="G881" s="7" t="str">
        <f>HYPERLINK("https://ovidsp.ovid.com/ovidweb.cgi?T=JS&amp;NEWS=n&amp;CSC=Y&amp;PAGE=booktext&amp;D=books&amp;SC=02233682&amp;EPUB=Y","https://ovidsp.ovid.com/ovidweb.cgi?T=JS&amp;NEWS=n&amp;CSC=Y&amp;PAGE=booktext&amp;D=books&amp;SC=02233682&amp;EPUB=Y")</f>
        <v>https://ovidsp.ovid.com/ovidweb.cgi?T=JS&amp;NEWS=n&amp;CSC=Y&amp;PAGE=booktext&amp;D=books&amp;SC=02233682&amp;EPUB=Y</v>
      </c>
      <c r="H881" s="8" t="s">
        <v>1795</v>
      </c>
    </row>
    <row r="882" spans="1:8" x14ac:dyDescent="0.3">
      <c r="A882" s="4" t="s">
        <v>521</v>
      </c>
      <c r="B882" s="5">
        <v>44893</v>
      </c>
      <c r="C882" s="6" t="s">
        <v>769</v>
      </c>
      <c r="D882" s="6" t="s">
        <v>1519</v>
      </c>
      <c r="E882" s="6" t="s">
        <v>2503</v>
      </c>
      <c r="F882" s="6" t="s">
        <v>1208</v>
      </c>
      <c r="G882" s="7" t="str">
        <f>HYPERLINK("https://ovidsp.ovid.com/ovidweb.cgi?T=JS&amp;NEWS=n&amp;CSC=Y&amp;PAGE=booktext&amp;D=books&amp;SC=01439432&amp;EPUB=Y","https://ovidsp.ovid.com/ovidweb.cgi?T=JS&amp;NEWS=n&amp;CSC=Y&amp;PAGE=booktext&amp;D=books&amp;SC=01439432&amp;EPUB=Y")</f>
        <v>https://ovidsp.ovid.com/ovidweb.cgi?T=JS&amp;NEWS=n&amp;CSC=Y&amp;PAGE=booktext&amp;D=books&amp;SC=01439432&amp;EPUB=Y</v>
      </c>
      <c r="H882" s="8" t="s">
        <v>1795</v>
      </c>
    </row>
    <row r="883" spans="1:8" x14ac:dyDescent="0.3">
      <c r="A883" s="4" t="s">
        <v>398</v>
      </c>
      <c r="B883" s="5">
        <v>44893</v>
      </c>
      <c r="C883" s="6" t="s">
        <v>1899</v>
      </c>
      <c r="D883" s="6" t="s">
        <v>1008</v>
      </c>
      <c r="E883" s="6" t="s">
        <v>2503</v>
      </c>
      <c r="F883" s="6" t="s">
        <v>1208</v>
      </c>
      <c r="G883" s="7" t="str">
        <f>HYPERLINK("https://ovidsp.ovid.com/ovidweb.cgi?T=JS&amp;NEWS=n&amp;CSC=Y&amp;PAGE=booktext&amp;D=books&amp;SC=01434289&amp;EPUB=Y","https://ovidsp.ovid.com/ovidweb.cgi?T=JS&amp;NEWS=n&amp;CSC=Y&amp;PAGE=booktext&amp;D=books&amp;SC=01434289&amp;EPUB=Y")</f>
        <v>https://ovidsp.ovid.com/ovidweb.cgi?T=JS&amp;NEWS=n&amp;CSC=Y&amp;PAGE=booktext&amp;D=books&amp;SC=01434289&amp;EPUB=Y</v>
      </c>
      <c r="H883" s="8" t="s">
        <v>1795</v>
      </c>
    </row>
    <row r="884" spans="1:8" x14ac:dyDescent="0.3">
      <c r="A884" s="4" t="s">
        <v>1031</v>
      </c>
      <c r="B884" s="5">
        <v>44893</v>
      </c>
      <c r="C884" s="6" t="s">
        <v>1964</v>
      </c>
      <c r="D884" s="6" t="s">
        <v>2181</v>
      </c>
      <c r="E884" s="6" t="s">
        <v>2503</v>
      </c>
      <c r="F884" s="6" t="s">
        <v>1208</v>
      </c>
      <c r="G884" s="7" t="str">
        <f>HYPERLINK("https://ovidsp.ovid.com/ovidweb.cgi?T=JS&amp;NEWS=n&amp;CSC=Y&amp;PAGE=booktext&amp;D=books&amp;SC=02249952&amp;EPUB=Y","https://ovidsp.ovid.com/ovidweb.cgi?T=JS&amp;NEWS=n&amp;CSC=Y&amp;PAGE=booktext&amp;D=books&amp;SC=02249952&amp;EPUB=Y")</f>
        <v>https://ovidsp.ovid.com/ovidweb.cgi?T=JS&amp;NEWS=n&amp;CSC=Y&amp;PAGE=booktext&amp;D=books&amp;SC=02249952&amp;EPUB=Y</v>
      </c>
      <c r="H884" s="8" t="s">
        <v>1795</v>
      </c>
    </row>
    <row r="885" spans="1:8" x14ac:dyDescent="0.3">
      <c r="A885" s="4" t="s">
        <v>1504</v>
      </c>
      <c r="B885" s="5">
        <v>44893</v>
      </c>
      <c r="C885" s="6" t="s">
        <v>2159</v>
      </c>
      <c r="D885" s="6" t="s">
        <v>323</v>
      </c>
      <c r="E885" s="6" t="s">
        <v>2503</v>
      </c>
      <c r="F885" s="6" t="s">
        <v>1208</v>
      </c>
      <c r="G885" s="7" t="str">
        <f>HYPERLINK("https://ovidsp.ovid.com/ovidweb.cgi?T=JS&amp;NEWS=n&amp;CSC=Y&amp;PAGE=booktext&amp;D=books&amp;SC=01434510&amp;EPUB=Y","https://ovidsp.ovid.com/ovidweb.cgi?T=JS&amp;NEWS=n&amp;CSC=Y&amp;PAGE=booktext&amp;D=books&amp;SC=01434510&amp;EPUB=Y")</f>
        <v>https://ovidsp.ovid.com/ovidweb.cgi?T=JS&amp;NEWS=n&amp;CSC=Y&amp;PAGE=booktext&amp;D=books&amp;SC=01434510&amp;EPUB=Y</v>
      </c>
      <c r="H885" s="8" t="s">
        <v>1795</v>
      </c>
    </row>
    <row r="886" spans="1:8" x14ac:dyDescent="0.3">
      <c r="A886" s="4" t="s">
        <v>1331</v>
      </c>
      <c r="B886" s="5">
        <v>44893</v>
      </c>
      <c r="C886" s="6" t="s">
        <v>1284</v>
      </c>
      <c r="D886" s="6" t="s">
        <v>958</v>
      </c>
      <c r="E886" s="6" t="s">
        <v>2503</v>
      </c>
      <c r="F886" s="6" t="s">
        <v>1208</v>
      </c>
      <c r="G886" s="7" t="str">
        <f>HYPERLINK("https://ovidsp.ovid.com/ovidweb.cgi?T=JS&amp;NEWS=n&amp;CSC=Y&amp;PAGE=booktext&amp;D=books&amp;SC=01434527&amp;EPUB=Y","https://ovidsp.ovid.com/ovidweb.cgi?T=JS&amp;NEWS=n&amp;CSC=Y&amp;PAGE=booktext&amp;D=books&amp;SC=01434527&amp;EPUB=Y")</f>
        <v>https://ovidsp.ovid.com/ovidweb.cgi?T=JS&amp;NEWS=n&amp;CSC=Y&amp;PAGE=booktext&amp;D=books&amp;SC=01434527&amp;EPUB=Y</v>
      </c>
      <c r="H886" s="8" t="s">
        <v>1795</v>
      </c>
    </row>
    <row r="887" spans="1:8" x14ac:dyDescent="0.3">
      <c r="A887" s="4" t="s">
        <v>1312</v>
      </c>
      <c r="B887" s="5">
        <v>44893</v>
      </c>
      <c r="C887" s="6" t="s">
        <v>231</v>
      </c>
      <c r="D887" s="6" t="s">
        <v>1993</v>
      </c>
      <c r="E887" s="6" t="s">
        <v>2503</v>
      </c>
      <c r="F887" s="6" t="s">
        <v>1208</v>
      </c>
      <c r="G887" s="7" t="str">
        <f>HYPERLINK("https://ovidsp.ovid.com/ovidweb.cgi?T=JS&amp;NEWS=n&amp;CSC=Y&amp;PAGE=booktext&amp;D=books&amp;SC=01845222&amp;EPUB=Y","https://ovidsp.ovid.com/ovidweb.cgi?T=JS&amp;NEWS=n&amp;CSC=Y&amp;PAGE=booktext&amp;D=books&amp;SC=01845222&amp;EPUB=Y")</f>
        <v>https://ovidsp.ovid.com/ovidweb.cgi?T=JS&amp;NEWS=n&amp;CSC=Y&amp;PAGE=booktext&amp;D=books&amp;SC=01845222&amp;EPUB=Y</v>
      </c>
      <c r="H887" s="8" t="s">
        <v>1795</v>
      </c>
    </row>
    <row r="888" spans="1:8" x14ac:dyDescent="0.3">
      <c r="A888" s="4" t="s">
        <v>1602</v>
      </c>
      <c r="B888" s="5">
        <v>44893</v>
      </c>
      <c r="C888" s="6" t="s">
        <v>2059</v>
      </c>
      <c r="D888" s="6" t="s">
        <v>470</v>
      </c>
      <c r="E888" s="6" t="s">
        <v>2503</v>
      </c>
      <c r="F888" s="6" t="s">
        <v>1208</v>
      </c>
      <c r="G888" s="7" t="str">
        <f>HYPERLINK("https://ovidsp.ovid.com/ovidweb.cgi?T=JS&amp;NEWS=n&amp;CSC=Y&amp;PAGE=booktext&amp;D=books&amp;SC=01434542&amp;EPUB=Y","https://ovidsp.ovid.com/ovidweb.cgi?T=JS&amp;NEWS=n&amp;CSC=Y&amp;PAGE=booktext&amp;D=books&amp;SC=01434542&amp;EPUB=Y")</f>
        <v>https://ovidsp.ovid.com/ovidweb.cgi?T=JS&amp;NEWS=n&amp;CSC=Y&amp;PAGE=booktext&amp;D=books&amp;SC=01434542&amp;EPUB=Y</v>
      </c>
      <c r="H888" s="8" t="s">
        <v>1795</v>
      </c>
    </row>
    <row r="889" spans="1:8" x14ac:dyDescent="0.3">
      <c r="A889" s="4" t="s">
        <v>2071</v>
      </c>
      <c r="B889" s="5">
        <v>44893</v>
      </c>
      <c r="C889" s="6" t="s">
        <v>2367</v>
      </c>
      <c r="D889" s="6" t="s">
        <v>1643</v>
      </c>
      <c r="E889" s="6" t="s">
        <v>2503</v>
      </c>
      <c r="F889" s="6" t="s">
        <v>1208</v>
      </c>
      <c r="G889" s="7" t="str">
        <f>HYPERLINK("https://ovidsp.ovid.com/ovidweb.cgi?T=JS&amp;NEWS=n&amp;CSC=Y&amp;PAGE=booktext&amp;D=books&amp;SC=01434411&amp;EPUB=Y","https://ovidsp.ovid.com/ovidweb.cgi?T=JS&amp;NEWS=n&amp;CSC=Y&amp;PAGE=booktext&amp;D=books&amp;SC=01434411&amp;EPUB=Y")</f>
        <v>https://ovidsp.ovid.com/ovidweb.cgi?T=JS&amp;NEWS=n&amp;CSC=Y&amp;PAGE=booktext&amp;D=books&amp;SC=01434411&amp;EPUB=Y</v>
      </c>
      <c r="H889" s="8" t="s">
        <v>1795</v>
      </c>
    </row>
    <row r="890" spans="1:8" x14ac:dyDescent="0.3">
      <c r="A890" s="4" t="s">
        <v>1952</v>
      </c>
      <c r="B890" s="5">
        <v>44893</v>
      </c>
      <c r="C890" s="6" t="s">
        <v>1845</v>
      </c>
      <c r="D890" s="6" t="s">
        <v>677</v>
      </c>
      <c r="E890" s="6" t="s">
        <v>2503</v>
      </c>
      <c r="F890" s="6" t="s">
        <v>1208</v>
      </c>
      <c r="G890" s="7" t="str">
        <f>HYPERLINK("https://ovidsp.ovid.com/ovidweb.cgi?T=JS&amp;NEWS=n&amp;CSC=Y&amp;PAGE=booktext&amp;D=books&amp;SC=01607899&amp;EPUB=Y","https://ovidsp.ovid.com/ovidweb.cgi?T=JS&amp;NEWS=n&amp;CSC=Y&amp;PAGE=booktext&amp;D=books&amp;SC=01607899&amp;EPUB=Y")</f>
        <v>https://ovidsp.ovid.com/ovidweb.cgi?T=JS&amp;NEWS=n&amp;CSC=Y&amp;PAGE=booktext&amp;D=books&amp;SC=01607899&amp;EPUB=Y</v>
      </c>
      <c r="H890" s="8" t="s">
        <v>1795</v>
      </c>
    </row>
    <row r="891" spans="1:8" x14ac:dyDescent="0.3">
      <c r="A891" s="4" t="s">
        <v>1362</v>
      </c>
      <c r="B891" s="5">
        <v>44893</v>
      </c>
      <c r="C891" s="6" t="s">
        <v>2367</v>
      </c>
      <c r="D891" s="6" t="s">
        <v>1643</v>
      </c>
      <c r="E891" s="6" t="s">
        <v>2503</v>
      </c>
      <c r="F891" s="6" t="s">
        <v>1208</v>
      </c>
      <c r="G891" s="7" t="str">
        <f>HYPERLINK("https://ovidsp.ovid.com/ovidweb.cgi?T=JS&amp;NEWS=n&amp;CSC=Y&amp;PAGE=booktext&amp;D=books&amp;SC=01434433&amp;EPUB=Y","https://ovidsp.ovid.com/ovidweb.cgi?T=JS&amp;NEWS=n&amp;CSC=Y&amp;PAGE=booktext&amp;D=books&amp;SC=01434433&amp;EPUB=Y")</f>
        <v>https://ovidsp.ovid.com/ovidweb.cgi?T=JS&amp;NEWS=n&amp;CSC=Y&amp;PAGE=booktext&amp;D=books&amp;SC=01434433&amp;EPUB=Y</v>
      </c>
      <c r="H891" s="8" t="s">
        <v>1795</v>
      </c>
    </row>
    <row r="892" spans="1:8" x14ac:dyDescent="0.3">
      <c r="A892" s="4" t="s">
        <v>836</v>
      </c>
      <c r="B892" s="5">
        <v>44893</v>
      </c>
      <c r="C892" s="6" t="s">
        <v>1507</v>
      </c>
      <c r="D892" s="6" t="s">
        <v>2461</v>
      </c>
      <c r="E892" s="6" t="s">
        <v>2503</v>
      </c>
      <c r="F892" s="6" t="s">
        <v>1208</v>
      </c>
      <c r="G892" s="7" t="str">
        <f>HYPERLINK("https://ovidsp.ovid.com/ovidweb.cgi?T=JS&amp;NEWS=n&amp;CSC=Y&amp;PAGE=booktext&amp;D=books&amp;SC=01437481&amp;EPUB=Y","https://ovidsp.ovid.com/ovidweb.cgi?T=JS&amp;NEWS=n&amp;CSC=Y&amp;PAGE=booktext&amp;D=books&amp;SC=01437481&amp;EPUB=Y")</f>
        <v>https://ovidsp.ovid.com/ovidweb.cgi?T=JS&amp;NEWS=n&amp;CSC=Y&amp;PAGE=booktext&amp;D=books&amp;SC=01437481&amp;EPUB=Y</v>
      </c>
      <c r="H892" s="8" t="s">
        <v>1795</v>
      </c>
    </row>
    <row r="893" spans="1:8" x14ac:dyDescent="0.3">
      <c r="A893" s="4" t="s">
        <v>1980</v>
      </c>
      <c r="B893" s="5">
        <v>44893</v>
      </c>
      <c r="C893" s="6" t="s">
        <v>2433</v>
      </c>
      <c r="D893" s="6" t="s">
        <v>2160</v>
      </c>
      <c r="E893" s="6" t="s">
        <v>2503</v>
      </c>
      <c r="F893" s="6" t="s">
        <v>1208</v>
      </c>
      <c r="G893" s="7" t="str">
        <f>HYPERLINK("https://ovidsp.ovid.com/ovidweb.cgi?T=JS&amp;NEWS=n&amp;CSC=Y&amp;PAGE=booktext&amp;D=books&amp;SC=02158088&amp;EPUB=Y","https://ovidsp.ovid.com/ovidweb.cgi?T=JS&amp;NEWS=n&amp;CSC=Y&amp;PAGE=booktext&amp;D=books&amp;SC=02158088&amp;EPUB=Y")</f>
        <v>https://ovidsp.ovid.com/ovidweb.cgi?T=JS&amp;NEWS=n&amp;CSC=Y&amp;PAGE=booktext&amp;D=books&amp;SC=02158088&amp;EPUB=Y</v>
      </c>
      <c r="H893" s="8" t="s">
        <v>1795</v>
      </c>
    </row>
    <row r="894" spans="1:8" x14ac:dyDescent="0.3">
      <c r="A894" s="4" t="s">
        <v>680</v>
      </c>
      <c r="B894" s="5">
        <v>44893</v>
      </c>
      <c r="C894" s="6" t="s">
        <v>2367</v>
      </c>
      <c r="D894" s="6" t="s">
        <v>1643</v>
      </c>
      <c r="E894" s="6" t="s">
        <v>2503</v>
      </c>
      <c r="F894" s="6" t="s">
        <v>1208</v>
      </c>
      <c r="G894" s="7" t="str">
        <f>HYPERLINK("https://ovidsp.ovid.com/ovidweb.cgi?T=JS&amp;NEWS=n&amp;CSC=Y&amp;PAGE=booktext&amp;D=books&amp;SC=01434338&amp;EPUB=Y","https://ovidsp.ovid.com/ovidweb.cgi?T=JS&amp;NEWS=n&amp;CSC=Y&amp;PAGE=booktext&amp;D=books&amp;SC=01434338&amp;EPUB=Y")</f>
        <v>https://ovidsp.ovid.com/ovidweb.cgi?T=JS&amp;NEWS=n&amp;CSC=Y&amp;PAGE=booktext&amp;D=books&amp;SC=01434338&amp;EPUB=Y</v>
      </c>
      <c r="H894" s="8" t="s">
        <v>1795</v>
      </c>
    </row>
    <row r="895" spans="1:8" x14ac:dyDescent="0.3">
      <c r="A895" s="4" t="s">
        <v>1997</v>
      </c>
      <c r="B895" s="5">
        <v>44893</v>
      </c>
      <c r="C895" s="6" t="s">
        <v>2367</v>
      </c>
      <c r="D895" s="6" t="s">
        <v>1643</v>
      </c>
      <c r="E895" s="6" t="s">
        <v>2503</v>
      </c>
      <c r="F895" s="6" t="s">
        <v>1208</v>
      </c>
      <c r="G895" s="7" t="str">
        <f>HYPERLINK("https://ovidsp.ovid.com/ovidweb.cgi?T=JS&amp;NEWS=n&amp;CSC=Y&amp;PAGE=booktext&amp;D=books&amp;SC=01434481&amp;EPUB=Y","https://ovidsp.ovid.com/ovidweb.cgi?T=JS&amp;NEWS=n&amp;CSC=Y&amp;PAGE=booktext&amp;D=books&amp;SC=01434481&amp;EPUB=Y")</f>
        <v>https://ovidsp.ovid.com/ovidweb.cgi?T=JS&amp;NEWS=n&amp;CSC=Y&amp;PAGE=booktext&amp;D=books&amp;SC=01434481&amp;EPUB=Y</v>
      </c>
      <c r="H895" s="8" t="s">
        <v>1795</v>
      </c>
    </row>
    <row r="896" spans="1:8" x14ac:dyDescent="0.3">
      <c r="A896" s="4" t="s">
        <v>472</v>
      </c>
      <c r="B896" s="5">
        <v>44893</v>
      </c>
      <c r="C896" s="6" t="s">
        <v>1655</v>
      </c>
      <c r="D896" s="6" t="s">
        <v>1563</v>
      </c>
      <c r="E896" s="6" t="s">
        <v>2503</v>
      </c>
      <c r="F896" s="6" t="s">
        <v>241</v>
      </c>
      <c r="G896" s="7" t="str">
        <f>HYPERLINK("https://ovidsp.ovid.com/ovidweb.cgi?T=JS&amp;NEWS=n&amp;CSC=Y&amp;PAGE=booktext&amp;D=books&amp;SC=01434519&amp;EPUB=Y","https://ovidsp.ovid.com/ovidweb.cgi?T=JS&amp;NEWS=n&amp;CSC=Y&amp;PAGE=booktext&amp;D=books&amp;SC=01434519&amp;EPUB=Y")</f>
        <v>https://ovidsp.ovid.com/ovidweb.cgi?T=JS&amp;NEWS=n&amp;CSC=Y&amp;PAGE=booktext&amp;D=books&amp;SC=01434519&amp;EPUB=Y</v>
      </c>
      <c r="H896" s="8" t="s">
        <v>1795</v>
      </c>
    </row>
    <row r="897" spans="1:8" x14ac:dyDescent="0.3">
      <c r="A897" s="4" t="s">
        <v>1192</v>
      </c>
      <c r="B897" s="5">
        <v>44893</v>
      </c>
      <c r="C897" s="6" t="s">
        <v>1257</v>
      </c>
      <c r="D897" s="6" t="s">
        <v>2277</v>
      </c>
      <c r="E897" s="6" t="s">
        <v>2503</v>
      </c>
      <c r="F897" s="6" t="s">
        <v>1208</v>
      </c>
      <c r="G897" s="7" t="str">
        <f>HYPERLINK("https://ovidsp.ovid.com/ovidweb.cgi?T=JS&amp;NEWS=n&amp;CSC=Y&amp;PAGE=booktext&amp;D=books&amp;SC=02272607&amp;EPUB=Y","https://ovidsp.ovid.com/ovidweb.cgi?T=JS&amp;NEWS=n&amp;CSC=Y&amp;PAGE=booktext&amp;D=books&amp;SC=02272607&amp;EPUB=Y")</f>
        <v>https://ovidsp.ovid.com/ovidweb.cgi?T=JS&amp;NEWS=n&amp;CSC=Y&amp;PAGE=booktext&amp;D=books&amp;SC=02272607&amp;EPUB=Y</v>
      </c>
      <c r="H897" s="8" t="s">
        <v>1795</v>
      </c>
    </row>
    <row r="898" spans="1:8" x14ac:dyDescent="0.3">
      <c r="A898" s="4" t="s">
        <v>2520</v>
      </c>
      <c r="B898" s="5">
        <v>44893</v>
      </c>
      <c r="C898" s="6" t="s">
        <v>2367</v>
      </c>
      <c r="D898" s="6" t="s">
        <v>1643</v>
      </c>
      <c r="E898" s="6" t="s">
        <v>2503</v>
      </c>
      <c r="F898" s="6" t="s">
        <v>1208</v>
      </c>
      <c r="G898" s="7" t="str">
        <f>HYPERLINK("https://ovidsp.ovid.com/ovidweb.cgi?T=JS&amp;NEWS=n&amp;CSC=Y&amp;PAGE=booktext&amp;D=books&amp;SC=01434228&amp;EPUB=Y","https://ovidsp.ovid.com/ovidweb.cgi?T=JS&amp;NEWS=n&amp;CSC=Y&amp;PAGE=booktext&amp;D=books&amp;SC=01434228&amp;EPUB=Y")</f>
        <v>https://ovidsp.ovid.com/ovidweb.cgi?T=JS&amp;NEWS=n&amp;CSC=Y&amp;PAGE=booktext&amp;D=books&amp;SC=01434228&amp;EPUB=Y</v>
      </c>
      <c r="H898" s="8" t="s">
        <v>1795</v>
      </c>
    </row>
    <row r="899" spans="1:8" x14ac:dyDescent="0.3">
      <c r="A899" s="4" t="s">
        <v>2520</v>
      </c>
      <c r="B899" s="5">
        <v>44893</v>
      </c>
      <c r="C899" s="6" t="s">
        <v>695</v>
      </c>
      <c r="D899" s="6" t="s">
        <v>2060</v>
      </c>
      <c r="E899" s="6" t="s">
        <v>2503</v>
      </c>
      <c r="F899" s="6" t="s">
        <v>241</v>
      </c>
      <c r="G899" s="7" t="str">
        <f>HYPERLINK("https://ovidsp.ovid.com/ovidweb.cgi?T=JS&amp;NEWS=n&amp;CSC=Y&amp;PAGE=booktext&amp;D=books&amp;SC=01984731&amp;EPUB=Y","https://ovidsp.ovid.com/ovidweb.cgi?T=JS&amp;NEWS=n&amp;CSC=Y&amp;PAGE=booktext&amp;D=books&amp;SC=01984731&amp;EPUB=Y")</f>
        <v>https://ovidsp.ovid.com/ovidweb.cgi?T=JS&amp;NEWS=n&amp;CSC=Y&amp;PAGE=booktext&amp;D=books&amp;SC=01984731&amp;EPUB=Y</v>
      </c>
      <c r="H899" s="8" t="s">
        <v>1795</v>
      </c>
    </row>
    <row r="900" spans="1:8" x14ac:dyDescent="0.3">
      <c r="A900" s="4" t="s">
        <v>157</v>
      </c>
      <c r="B900" s="5">
        <v>44893</v>
      </c>
      <c r="C900" s="6" t="s">
        <v>2147</v>
      </c>
      <c r="D900" s="6" t="s">
        <v>2424</v>
      </c>
      <c r="E900" s="6" t="s">
        <v>2503</v>
      </c>
      <c r="F900" s="6" t="s">
        <v>241</v>
      </c>
      <c r="G900" s="7" t="str">
        <f>HYPERLINK("https://ovidsp.ovid.com/ovidweb.cgi?T=JS&amp;NEWS=n&amp;CSC=Y&amp;PAGE=booktext&amp;D=books&amp;SC=02233672&amp;EPUB=Y","https://ovidsp.ovid.com/ovidweb.cgi?T=JS&amp;NEWS=n&amp;CSC=Y&amp;PAGE=booktext&amp;D=books&amp;SC=02233672&amp;EPUB=Y")</f>
        <v>https://ovidsp.ovid.com/ovidweb.cgi?T=JS&amp;NEWS=n&amp;CSC=Y&amp;PAGE=booktext&amp;D=books&amp;SC=02233672&amp;EPUB=Y</v>
      </c>
      <c r="H900" s="8" t="s">
        <v>1795</v>
      </c>
    </row>
    <row r="901" spans="1:8" x14ac:dyDescent="0.3">
      <c r="A901" s="4" t="s">
        <v>2437</v>
      </c>
      <c r="B901" s="5">
        <v>44893</v>
      </c>
      <c r="C901" s="6" t="s">
        <v>1785</v>
      </c>
      <c r="D901" s="6" t="s">
        <v>1491</v>
      </c>
      <c r="E901" s="6" t="s">
        <v>2503</v>
      </c>
      <c r="F901" s="6" t="s">
        <v>1208</v>
      </c>
      <c r="G901" s="7" t="str">
        <f>HYPERLINK("https://ovidsp.ovid.com/ovidweb.cgi?T=JS&amp;NEWS=n&amp;CSC=Y&amp;PAGE=booktext&amp;D=books&amp;SC=01984725&amp;EPUB=Y","https://ovidsp.ovid.com/ovidweb.cgi?T=JS&amp;NEWS=n&amp;CSC=Y&amp;PAGE=booktext&amp;D=books&amp;SC=01984725&amp;EPUB=Y")</f>
        <v>https://ovidsp.ovid.com/ovidweb.cgi?T=JS&amp;NEWS=n&amp;CSC=Y&amp;PAGE=booktext&amp;D=books&amp;SC=01984725&amp;EPUB=Y</v>
      </c>
      <c r="H901" s="8" t="s">
        <v>1795</v>
      </c>
    </row>
    <row r="902" spans="1:8" x14ac:dyDescent="0.3">
      <c r="A902" s="4" t="s">
        <v>2398</v>
      </c>
      <c r="B902" s="5">
        <v>44893</v>
      </c>
      <c r="C902" s="6" t="s">
        <v>1414</v>
      </c>
      <c r="D902" s="6" t="s">
        <v>1569</v>
      </c>
      <c r="E902" s="6" t="s">
        <v>2503</v>
      </c>
      <c r="F902" s="6" t="s">
        <v>1208</v>
      </c>
      <c r="G902" s="7" t="str">
        <f>HYPERLINK("https://ovidsp.ovid.com/ovidweb.cgi?T=JS&amp;NEWS=n&amp;CSC=Y&amp;PAGE=booktext&amp;D=books&amp;SC=01518810&amp;EPUB=Y","https://ovidsp.ovid.com/ovidweb.cgi?T=JS&amp;NEWS=n&amp;CSC=Y&amp;PAGE=booktext&amp;D=books&amp;SC=01518810&amp;EPUB=Y")</f>
        <v>https://ovidsp.ovid.com/ovidweb.cgi?T=JS&amp;NEWS=n&amp;CSC=Y&amp;PAGE=booktext&amp;D=books&amp;SC=01518810&amp;EPUB=Y</v>
      </c>
      <c r="H902" s="8" t="s">
        <v>1795</v>
      </c>
    </row>
    <row r="903" spans="1:8" x14ac:dyDescent="0.3">
      <c r="A903" s="4" t="s">
        <v>1278</v>
      </c>
      <c r="B903" s="5">
        <v>44893</v>
      </c>
      <c r="C903" s="6" t="s">
        <v>497</v>
      </c>
      <c r="D903" s="6" t="s">
        <v>2152</v>
      </c>
      <c r="E903" s="6" t="s">
        <v>2503</v>
      </c>
      <c r="F903" s="6" t="s">
        <v>1208</v>
      </c>
      <c r="G903" s="7" t="str">
        <f>HYPERLINK("https://ovidsp.ovid.com/ovidweb.cgi?T=JS&amp;NEWS=n&amp;CSC=Y&amp;PAGE=booktext&amp;D=books&amp;SC=01787380&amp;EPUB=Y","https://ovidsp.ovid.com/ovidweb.cgi?T=JS&amp;NEWS=n&amp;CSC=Y&amp;PAGE=booktext&amp;D=books&amp;SC=01787380&amp;EPUB=Y")</f>
        <v>https://ovidsp.ovid.com/ovidweb.cgi?T=JS&amp;NEWS=n&amp;CSC=Y&amp;PAGE=booktext&amp;D=books&amp;SC=01787380&amp;EPUB=Y</v>
      </c>
      <c r="H903" s="8" t="s">
        <v>1795</v>
      </c>
    </row>
    <row r="904" spans="1:8" x14ac:dyDescent="0.3">
      <c r="A904" s="4" t="s">
        <v>1940</v>
      </c>
      <c r="B904" s="5">
        <v>44893</v>
      </c>
      <c r="C904" s="6" t="s">
        <v>1053</v>
      </c>
      <c r="D904" s="6" t="s">
        <v>1721</v>
      </c>
      <c r="E904" s="6" t="s">
        <v>2503</v>
      </c>
      <c r="F904" s="6" t="s">
        <v>1208</v>
      </c>
      <c r="G904" s="7" t="str">
        <f>HYPERLINK("https://ovidsp.ovid.com/ovidweb.cgi?T=JS&amp;NEWS=n&amp;CSC=Y&amp;PAGE=booktext&amp;D=books&amp;SC=02070797&amp;EPUB=Y","https://ovidsp.ovid.com/ovidweb.cgi?T=JS&amp;NEWS=n&amp;CSC=Y&amp;PAGE=booktext&amp;D=books&amp;SC=02070797&amp;EPUB=Y")</f>
        <v>https://ovidsp.ovid.com/ovidweb.cgi?T=JS&amp;NEWS=n&amp;CSC=Y&amp;PAGE=booktext&amp;D=books&amp;SC=02070797&amp;EPUB=Y</v>
      </c>
      <c r="H904" s="8" t="s">
        <v>1795</v>
      </c>
    </row>
    <row r="905" spans="1:8" x14ac:dyDescent="0.3">
      <c r="A905" s="4" t="s">
        <v>2278</v>
      </c>
      <c r="B905" s="5">
        <v>44893</v>
      </c>
      <c r="C905" s="6" t="s">
        <v>1254</v>
      </c>
      <c r="D905" s="6" t="s">
        <v>797</v>
      </c>
      <c r="E905" s="6" t="s">
        <v>2503</v>
      </c>
      <c r="F905" s="6" t="s">
        <v>1208</v>
      </c>
      <c r="G905" s="7" t="str">
        <f>HYPERLINK("https://ovidsp.ovid.com/ovidweb.cgi?T=JS&amp;NEWS=n&amp;CSC=Y&amp;PAGE=booktext&amp;D=books&amp;SC=01929395&amp;EPUB=Y","https://ovidsp.ovid.com/ovidweb.cgi?T=JS&amp;NEWS=n&amp;CSC=Y&amp;PAGE=booktext&amp;D=books&amp;SC=01929395&amp;EPUB=Y")</f>
        <v>https://ovidsp.ovid.com/ovidweb.cgi?T=JS&amp;NEWS=n&amp;CSC=Y&amp;PAGE=booktext&amp;D=books&amp;SC=01929395&amp;EPUB=Y</v>
      </c>
      <c r="H905" s="8" t="s">
        <v>1795</v>
      </c>
    </row>
    <row r="906" spans="1:8" x14ac:dyDescent="0.3">
      <c r="A906" s="4" t="s">
        <v>1438</v>
      </c>
      <c r="B906" s="5">
        <v>44893</v>
      </c>
      <c r="C906" s="6" t="s">
        <v>538</v>
      </c>
      <c r="D906" s="6" t="s">
        <v>79</v>
      </c>
      <c r="E906" s="6" t="s">
        <v>2503</v>
      </c>
      <c r="F906" s="6" t="s">
        <v>1208</v>
      </c>
      <c r="G906" s="7" t="str">
        <f>HYPERLINK("https://ovidsp.ovid.com/ovidweb.cgi?T=JS&amp;NEWS=n&amp;CSC=Y&amp;PAGE=booktext&amp;D=books&amp;SC=02186175&amp;EPUB=Y","https://ovidsp.ovid.com/ovidweb.cgi?T=JS&amp;NEWS=n&amp;CSC=Y&amp;PAGE=booktext&amp;D=books&amp;SC=02186175&amp;EPUB=Y")</f>
        <v>https://ovidsp.ovid.com/ovidweb.cgi?T=JS&amp;NEWS=n&amp;CSC=Y&amp;PAGE=booktext&amp;D=books&amp;SC=02186175&amp;EPUB=Y</v>
      </c>
      <c r="H906" s="8" t="s">
        <v>1795</v>
      </c>
    </row>
    <row r="907" spans="1:8" x14ac:dyDescent="0.3">
      <c r="A907" s="4" t="s">
        <v>1603</v>
      </c>
      <c r="B907" s="5">
        <v>44893</v>
      </c>
      <c r="C907" s="6" t="s">
        <v>2482</v>
      </c>
      <c r="D907" s="6" t="s">
        <v>2006</v>
      </c>
      <c r="E907" s="6" t="s">
        <v>2503</v>
      </c>
      <c r="F907" s="6" t="s">
        <v>1208</v>
      </c>
      <c r="G907" s="7" t="str">
        <f>HYPERLINK("https://ovidsp.ovid.com/ovidweb.cgi?T=JS&amp;NEWS=n&amp;CSC=Y&amp;PAGE=booktext&amp;D=books&amp;SC=02118336&amp;EPUB=Y","https://ovidsp.ovid.com/ovidweb.cgi?T=JS&amp;NEWS=n&amp;CSC=Y&amp;PAGE=booktext&amp;D=books&amp;SC=02118336&amp;EPUB=Y")</f>
        <v>https://ovidsp.ovid.com/ovidweb.cgi?T=JS&amp;NEWS=n&amp;CSC=Y&amp;PAGE=booktext&amp;D=books&amp;SC=02118336&amp;EPUB=Y</v>
      </c>
      <c r="H907" s="8" t="s">
        <v>1795</v>
      </c>
    </row>
    <row r="908" spans="1:8" x14ac:dyDescent="0.3">
      <c r="A908" s="4" t="s">
        <v>894</v>
      </c>
      <c r="B908" s="5">
        <v>44893</v>
      </c>
      <c r="C908" s="6" t="s">
        <v>413</v>
      </c>
      <c r="D908" s="6" t="s">
        <v>346</v>
      </c>
      <c r="E908" s="6" t="s">
        <v>2503</v>
      </c>
      <c r="F908" s="6" t="s">
        <v>1208</v>
      </c>
      <c r="G908" s="7" t="str">
        <f>HYPERLINK("https://ovidsp.ovid.com/ovidweb.cgi?T=JS&amp;NEWS=n&amp;CSC=Y&amp;PAGE=booktext&amp;D=books&amp;SC=01434643&amp;EPUB=Y","https://ovidsp.ovid.com/ovidweb.cgi?T=JS&amp;NEWS=n&amp;CSC=Y&amp;PAGE=booktext&amp;D=books&amp;SC=01434643&amp;EPUB=Y")</f>
        <v>https://ovidsp.ovid.com/ovidweb.cgi?T=JS&amp;NEWS=n&amp;CSC=Y&amp;PAGE=booktext&amp;D=books&amp;SC=01434643&amp;EPUB=Y</v>
      </c>
      <c r="H908" s="8" t="s">
        <v>1795</v>
      </c>
    </row>
    <row r="909" spans="1:8" x14ac:dyDescent="0.3">
      <c r="A909" s="4" t="s">
        <v>1811</v>
      </c>
      <c r="B909" s="5">
        <v>44893</v>
      </c>
      <c r="C909" s="6" t="s">
        <v>302</v>
      </c>
      <c r="D909" s="6" t="s">
        <v>2229</v>
      </c>
      <c r="E909" s="6" t="s">
        <v>2503</v>
      </c>
      <c r="F909" s="6" t="s">
        <v>1208</v>
      </c>
      <c r="G909" s="7" t="str">
        <f>HYPERLINK("https://ovidsp.ovid.com/ovidweb.cgi?T=JS&amp;NEWS=n&amp;CSC=Y&amp;PAGE=booktext&amp;D=books&amp;SC=01434573&amp;EPUB=Y","https://ovidsp.ovid.com/ovidweb.cgi?T=JS&amp;NEWS=n&amp;CSC=Y&amp;PAGE=booktext&amp;D=books&amp;SC=01434573&amp;EPUB=Y")</f>
        <v>https://ovidsp.ovid.com/ovidweb.cgi?T=JS&amp;NEWS=n&amp;CSC=Y&amp;PAGE=booktext&amp;D=books&amp;SC=01434573&amp;EPUB=Y</v>
      </c>
      <c r="H909" s="8" t="s">
        <v>1795</v>
      </c>
    </row>
    <row r="910" spans="1:8" x14ac:dyDescent="0.3">
      <c r="A910" s="4" t="s">
        <v>1464</v>
      </c>
      <c r="B910" s="5">
        <v>44893</v>
      </c>
      <c r="C910" s="6" t="s">
        <v>945</v>
      </c>
      <c r="D910" s="6" t="s">
        <v>264</v>
      </c>
      <c r="E910" s="6" t="s">
        <v>2503</v>
      </c>
      <c r="F910" s="6" t="s">
        <v>1208</v>
      </c>
      <c r="G910" s="7" t="str">
        <f>HYPERLINK("https://ovidsp.ovid.com/ovidweb.cgi?T=JS&amp;NEWS=n&amp;CSC=Y&amp;PAGE=booktext&amp;D=books&amp;SC=01990615&amp;EPUB=Y","https://ovidsp.ovid.com/ovidweb.cgi?T=JS&amp;NEWS=n&amp;CSC=Y&amp;PAGE=booktext&amp;D=books&amp;SC=01990615&amp;EPUB=Y")</f>
        <v>https://ovidsp.ovid.com/ovidweb.cgi?T=JS&amp;NEWS=n&amp;CSC=Y&amp;PAGE=booktext&amp;D=books&amp;SC=01990615&amp;EPUB=Y</v>
      </c>
      <c r="H910" s="8" t="s">
        <v>1795</v>
      </c>
    </row>
    <row r="911" spans="1:8" x14ac:dyDescent="0.3">
      <c r="A911" s="4" t="s">
        <v>683</v>
      </c>
      <c r="B911" s="5">
        <v>44893</v>
      </c>
      <c r="C911" s="6" t="s">
        <v>511</v>
      </c>
      <c r="D911" s="6" t="s">
        <v>856</v>
      </c>
      <c r="E911" s="6" t="s">
        <v>2503</v>
      </c>
      <c r="F911" s="6" t="s">
        <v>1208</v>
      </c>
      <c r="G911" s="7" t="str">
        <f>HYPERLINK("https://ovidsp.ovid.com/ovidweb.cgi?T=JS&amp;NEWS=n&amp;CSC=Y&amp;PAGE=booktext&amp;D=books&amp;SC=01647962&amp;EPUB=Y","https://ovidsp.ovid.com/ovidweb.cgi?T=JS&amp;NEWS=n&amp;CSC=Y&amp;PAGE=booktext&amp;D=books&amp;SC=01647962&amp;EPUB=Y")</f>
        <v>https://ovidsp.ovid.com/ovidweb.cgi?T=JS&amp;NEWS=n&amp;CSC=Y&amp;PAGE=booktext&amp;D=books&amp;SC=01647962&amp;EPUB=Y</v>
      </c>
      <c r="H911" s="8" t="s">
        <v>1795</v>
      </c>
    </row>
    <row r="912" spans="1:8" x14ac:dyDescent="0.3">
      <c r="A912" s="4" t="s">
        <v>72</v>
      </c>
      <c r="B912" s="5">
        <v>44893</v>
      </c>
      <c r="C912" s="6" t="s">
        <v>2367</v>
      </c>
      <c r="D912" s="6" t="s">
        <v>1643</v>
      </c>
      <c r="E912" s="6" t="s">
        <v>2503</v>
      </c>
      <c r="F912" s="6" t="s">
        <v>1208</v>
      </c>
      <c r="G912" s="7" t="str">
        <f>HYPERLINK("https://ovidsp.ovid.com/ovidweb.cgi?T=JS&amp;NEWS=n&amp;CSC=Y&amp;PAGE=booktext&amp;D=books&amp;SC=01434262&amp;EPUB=Y","https://ovidsp.ovid.com/ovidweb.cgi?T=JS&amp;NEWS=n&amp;CSC=Y&amp;PAGE=booktext&amp;D=books&amp;SC=01434262&amp;EPUB=Y")</f>
        <v>https://ovidsp.ovid.com/ovidweb.cgi?T=JS&amp;NEWS=n&amp;CSC=Y&amp;PAGE=booktext&amp;D=books&amp;SC=01434262&amp;EPUB=Y</v>
      </c>
      <c r="H912" s="8" t="s">
        <v>1795</v>
      </c>
    </row>
    <row r="913" spans="1:8" x14ac:dyDescent="0.3">
      <c r="A913" s="4" t="s">
        <v>1380</v>
      </c>
      <c r="B913" s="5">
        <v>44893</v>
      </c>
      <c r="C913" s="6" t="s">
        <v>2367</v>
      </c>
      <c r="D913" s="6" t="s">
        <v>1643</v>
      </c>
      <c r="E913" s="6" t="s">
        <v>2503</v>
      </c>
      <c r="F913" s="6" t="s">
        <v>1208</v>
      </c>
      <c r="G913" s="7" t="str">
        <f>HYPERLINK("https://ovidsp.ovid.com/ovidweb.cgi?T=JS&amp;NEWS=n&amp;CSC=Y&amp;PAGE=booktext&amp;D=books&amp;SC=01434405&amp;EPUB=Y","https://ovidsp.ovid.com/ovidweb.cgi?T=JS&amp;NEWS=n&amp;CSC=Y&amp;PAGE=booktext&amp;D=books&amp;SC=01434405&amp;EPUB=Y")</f>
        <v>https://ovidsp.ovid.com/ovidweb.cgi?T=JS&amp;NEWS=n&amp;CSC=Y&amp;PAGE=booktext&amp;D=books&amp;SC=01434405&amp;EPUB=Y</v>
      </c>
      <c r="H913" s="8" t="s">
        <v>1795</v>
      </c>
    </row>
    <row r="914" spans="1:8" x14ac:dyDescent="0.3">
      <c r="A914" s="4" t="s">
        <v>139</v>
      </c>
      <c r="B914" s="5">
        <v>44893</v>
      </c>
      <c r="C914" s="6" t="s">
        <v>1175</v>
      </c>
      <c r="D914" s="6" t="s">
        <v>1748</v>
      </c>
      <c r="E914" s="6" t="s">
        <v>2503</v>
      </c>
      <c r="F914" s="6" t="s">
        <v>1208</v>
      </c>
      <c r="G914" s="7" t="str">
        <f>HYPERLINK("https://ovidsp.ovid.com/ovidweb.cgi?T=JS&amp;NEWS=n&amp;CSC=Y&amp;PAGE=booktext&amp;D=books&amp;SC=01949553&amp;EPUB=Y","https://ovidsp.ovid.com/ovidweb.cgi?T=JS&amp;NEWS=n&amp;CSC=Y&amp;PAGE=booktext&amp;D=books&amp;SC=01949553&amp;EPUB=Y")</f>
        <v>https://ovidsp.ovid.com/ovidweb.cgi?T=JS&amp;NEWS=n&amp;CSC=Y&amp;PAGE=booktext&amp;D=books&amp;SC=01949553&amp;EPUB=Y</v>
      </c>
      <c r="H914" s="8" t="s">
        <v>1795</v>
      </c>
    </row>
    <row r="915" spans="1:8" x14ac:dyDescent="0.3">
      <c r="A915" s="4" t="s">
        <v>746</v>
      </c>
      <c r="B915" s="5">
        <v>44893</v>
      </c>
      <c r="C915" s="6" t="s">
        <v>1947</v>
      </c>
      <c r="D915" s="6" t="s">
        <v>2072</v>
      </c>
      <c r="E915" s="6" t="s">
        <v>2503</v>
      </c>
      <c r="F915" s="6" t="s">
        <v>1208</v>
      </c>
      <c r="G915" s="7" t="str">
        <f>HYPERLINK("https://ovidsp.ovid.com/ovidweb.cgi?T=JS&amp;NEWS=n&amp;CSC=Y&amp;PAGE=booktext&amp;D=books&amp;SC=01434597&amp;EPUB=Y","https://ovidsp.ovid.com/ovidweb.cgi?T=JS&amp;NEWS=n&amp;CSC=Y&amp;PAGE=booktext&amp;D=books&amp;SC=01434597&amp;EPUB=Y")</f>
        <v>https://ovidsp.ovid.com/ovidweb.cgi?T=JS&amp;NEWS=n&amp;CSC=Y&amp;PAGE=booktext&amp;D=books&amp;SC=01434597&amp;EPUB=Y</v>
      </c>
      <c r="H915" s="8" t="s">
        <v>1795</v>
      </c>
    </row>
    <row r="916" spans="1:8" x14ac:dyDescent="0.3">
      <c r="A916" s="4" t="s">
        <v>1166</v>
      </c>
      <c r="B916" s="5">
        <v>44893</v>
      </c>
      <c r="C916" s="6" t="s">
        <v>1429</v>
      </c>
      <c r="D916" s="6" t="s">
        <v>820</v>
      </c>
      <c r="E916" s="6" t="s">
        <v>2503</v>
      </c>
      <c r="F916" s="6" t="s">
        <v>1208</v>
      </c>
      <c r="G916" s="7" t="str">
        <f>HYPERLINK("https://ovidsp.ovid.com/ovidweb.cgi?T=JS&amp;NEWS=n&amp;CSC=Y&amp;PAGE=booktext&amp;D=books&amp;SC=01965239&amp;EPUB=Y","https://ovidsp.ovid.com/ovidweb.cgi?T=JS&amp;NEWS=n&amp;CSC=Y&amp;PAGE=booktext&amp;D=books&amp;SC=01965239&amp;EPUB=Y")</f>
        <v>https://ovidsp.ovid.com/ovidweb.cgi?T=JS&amp;NEWS=n&amp;CSC=Y&amp;PAGE=booktext&amp;D=books&amp;SC=01965239&amp;EPUB=Y</v>
      </c>
      <c r="H916" s="8" t="s">
        <v>1795</v>
      </c>
    </row>
    <row r="917" spans="1:8" x14ac:dyDescent="0.3">
      <c r="A917" s="4" t="s">
        <v>1161</v>
      </c>
      <c r="B917" s="5">
        <v>44893</v>
      </c>
      <c r="C917" s="6" t="s">
        <v>2149</v>
      </c>
      <c r="D917" s="6" t="s">
        <v>308</v>
      </c>
      <c r="E917" s="6" t="s">
        <v>2503</v>
      </c>
      <c r="F917" s="6" t="s">
        <v>1208</v>
      </c>
      <c r="G917" s="7" t="str">
        <f>HYPERLINK("https://ovidsp.ovid.com/ovidweb.cgi?T=JS&amp;NEWS=n&amp;CSC=Y&amp;PAGE=booktext&amp;D=books&amp;SC=02233683&amp;EPUB=Y","https://ovidsp.ovid.com/ovidweb.cgi?T=JS&amp;NEWS=n&amp;CSC=Y&amp;PAGE=booktext&amp;D=books&amp;SC=02233683&amp;EPUB=Y")</f>
        <v>https://ovidsp.ovid.com/ovidweb.cgi?T=JS&amp;NEWS=n&amp;CSC=Y&amp;PAGE=booktext&amp;D=books&amp;SC=02233683&amp;EPUB=Y</v>
      </c>
      <c r="H917" s="8" t="s">
        <v>1795</v>
      </c>
    </row>
    <row r="918" spans="1:8" x14ac:dyDescent="0.3">
      <c r="A918" s="4" t="s">
        <v>304</v>
      </c>
      <c r="B918" s="5">
        <v>44893</v>
      </c>
      <c r="C918" s="6" t="s">
        <v>2367</v>
      </c>
      <c r="D918" s="6" t="s">
        <v>1643</v>
      </c>
      <c r="E918" s="6" t="s">
        <v>2503</v>
      </c>
      <c r="F918" s="6" t="s">
        <v>1208</v>
      </c>
      <c r="G918" s="7" t="str">
        <f>HYPERLINK("https://ovidsp.ovid.com/ovidweb.cgi?T=JS&amp;NEWS=n&amp;CSC=Y&amp;PAGE=booktext&amp;D=books&amp;SC=01434376&amp;EPUB=Y","https://ovidsp.ovid.com/ovidweb.cgi?T=JS&amp;NEWS=n&amp;CSC=Y&amp;PAGE=booktext&amp;D=books&amp;SC=01434376&amp;EPUB=Y")</f>
        <v>https://ovidsp.ovid.com/ovidweb.cgi?T=JS&amp;NEWS=n&amp;CSC=Y&amp;PAGE=booktext&amp;D=books&amp;SC=01434376&amp;EPUB=Y</v>
      </c>
      <c r="H918" s="8" t="s">
        <v>1795</v>
      </c>
    </row>
    <row r="919" spans="1:8" x14ac:dyDescent="0.3">
      <c r="A919" s="4" t="s">
        <v>424</v>
      </c>
      <c r="B919" s="5">
        <v>44893</v>
      </c>
      <c r="C919" s="6" t="s">
        <v>523</v>
      </c>
      <c r="D919" s="6" t="s">
        <v>923</v>
      </c>
      <c r="E919" s="6" t="s">
        <v>2503</v>
      </c>
      <c r="F919" s="6" t="s">
        <v>1208</v>
      </c>
      <c r="G919" s="7" t="str">
        <f>HYPERLINK("https://ovidsp.ovid.com/ovidweb.cgi?T=JS&amp;NEWS=n&amp;CSC=Y&amp;PAGE=booktext&amp;D=books&amp;SC=02233680&amp;EPUB=Y","https://ovidsp.ovid.com/ovidweb.cgi?T=JS&amp;NEWS=n&amp;CSC=Y&amp;PAGE=booktext&amp;D=books&amp;SC=02233680&amp;EPUB=Y")</f>
        <v>https://ovidsp.ovid.com/ovidweb.cgi?T=JS&amp;NEWS=n&amp;CSC=Y&amp;PAGE=booktext&amp;D=books&amp;SC=02233680&amp;EPUB=Y</v>
      </c>
      <c r="H919" s="8" t="s">
        <v>1795</v>
      </c>
    </row>
    <row r="920" spans="1:8" x14ac:dyDescent="0.3">
      <c r="A920" s="4" t="s">
        <v>1780</v>
      </c>
      <c r="B920" s="5">
        <v>44893</v>
      </c>
      <c r="C920" s="6" t="s">
        <v>865</v>
      </c>
      <c r="D920" s="6" t="s">
        <v>166</v>
      </c>
      <c r="E920" s="6" t="s">
        <v>2503</v>
      </c>
      <c r="F920" s="6" t="s">
        <v>1208</v>
      </c>
      <c r="G920" s="7" t="str">
        <f>HYPERLINK("https://ovidsp.ovid.com/ovidweb.cgi?T=JS&amp;NEWS=n&amp;CSC=Y&amp;PAGE=booktext&amp;D=books&amp;SC=02158080&amp;EPUB=Y","https://ovidsp.ovid.com/ovidweb.cgi?T=JS&amp;NEWS=n&amp;CSC=Y&amp;PAGE=booktext&amp;D=books&amp;SC=02158080&amp;EPUB=Y")</f>
        <v>https://ovidsp.ovid.com/ovidweb.cgi?T=JS&amp;NEWS=n&amp;CSC=Y&amp;PAGE=booktext&amp;D=books&amp;SC=02158080&amp;EPUB=Y</v>
      </c>
      <c r="H920" s="8" t="s">
        <v>1795</v>
      </c>
    </row>
    <row r="921" spans="1:8" x14ac:dyDescent="0.3">
      <c r="A921" s="4" t="s">
        <v>542</v>
      </c>
      <c r="B921" s="5">
        <v>44893</v>
      </c>
      <c r="C921" s="6" t="s">
        <v>2104</v>
      </c>
      <c r="D921" s="6" t="s">
        <v>1933</v>
      </c>
      <c r="E921" s="6" t="s">
        <v>2503</v>
      </c>
      <c r="F921" s="6" t="s">
        <v>241</v>
      </c>
      <c r="G921" s="7" t="str">
        <f>HYPERLINK("https://ovidsp.ovid.com/ovidweb.cgi?T=JS&amp;NEWS=n&amp;CSC=Y&amp;PAGE=booktext&amp;D=books&amp;SC=02070827&amp;EPUB=Y","https://ovidsp.ovid.com/ovidweb.cgi?T=JS&amp;NEWS=n&amp;CSC=Y&amp;PAGE=booktext&amp;D=books&amp;SC=02070827&amp;EPUB=Y")</f>
        <v>https://ovidsp.ovid.com/ovidweb.cgi?T=JS&amp;NEWS=n&amp;CSC=Y&amp;PAGE=booktext&amp;D=books&amp;SC=02070827&amp;EPUB=Y</v>
      </c>
      <c r="H921" s="8" t="s">
        <v>1795</v>
      </c>
    </row>
    <row r="922" spans="1:8" x14ac:dyDescent="0.3">
      <c r="A922" s="4" t="s">
        <v>434</v>
      </c>
      <c r="B922" s="5">
        <v>44893</v>
      </c>
      <c r="C922" s="6" t="s">
        <v>1467</v>
      </c>
      <c r="D922" s="6" t="s">
        <v>61</v>
      </c>
      <c r="E922" s="6" t="s">
        <v>2503</v>
      </c>
      <c r="F922" s="6" t="s">
        <v>1208</v>
      </c>
      <c r="G922" s="7" t="str">
        <f>HYPERLINK("https://ovidsp.ovid.com/ovidweb.cgi?T=JS&amp;NEWS=n&amp;CSC=Y&amp;PAGE=booktext&amp;D=books&amp;SC=01626537&amp;EPUB=Y","https://ovidsp.ovid.com/ovidweb.cgi?T=JS&amp;NEWS=n&amp;CSC=Y&amp;PAGE=booktext&amp;D=books&amp;SC=01626537&amp;EPUB=Y")</f>
        <v>https://ovidsp.ovid.com/ovidweb.cgi?T=JS&amp;NEWS=n&amp;CSC=Y&amp;PAGE=booktext&amp;D=books&amp;SC=01626537&amp;EPUB=Y</v>
      </c>
      <c r="H922" s="8" t="s">
        <v>1795</v>
      </c>
    </row>
    <row r="923" spans="1:8" x14ac:dyDescent="0.3">
      <c r="A923" s="4" t="s">
        <v>2323</v>
      </c>
      <c r="B923" s="5">
        <v>44893</v>
      </c>
      <c r="C923" s="6" t="s">
        <v>929</v>
      </c>
      <c r="D923" s="6" t="s">
        <v>821</v>
      </c>
      <c r="E923" s="6" t="s">
        <v>2503</v>
      </c>
      <c r="F923" s="6" t="s">
        <v>1208</v>
      </c>
      <c r="G923" s="7" t="str">
        <f>HYPERLINK("https://ovidsp.ovid.com/ovidweb.cgi?T=JS&amp;NEWS=n&amp;CSC=Y&amp;PAGE=booktext&amp;D=books&amp;SC=02250019&amp;EPUB=Y","https://ovidsp.ovid.com/ovidweb.cgi?T=JS&amp;NEWS=n&amp;CSC=Y&amp;PAGE=booktext&amp;D=books&amp;SC=02250019&amp;EPUB=Y")</f>
        <v>https://ovidsp.ovid.com/ovidweb.cgi?T=JS&amp;NEWS=n&amp;CSC=Y&amp;PAGE=booktext&amp;D=books&amp;SC=02250019&amp;EPUB=Y</v>
      </c>
      <c r="H923" s="8" t="s">
        <v>1795</v>
      </c>
    </row>
    <row r="924" spans="1:8" x14ac:dyDescent="0.3">
      <c r="A924" s="4" t="s">
        <v>486</v>
      </c>
      <c r="B924" s="5">
        <v>44893</v>
      </c>
      <c r="C924" s="6" t="s">
        <v>2367</v>
      </c>
      <c r="D924" s="6" t="s">
        <v>1643</v>
      </c>
      <c r="E924" s="6" t="s">
        <v>2503</v>
      </c>
      <c r="F924" s="6" t="s">
        <v>1208</v>
      </c>
      <c r="G924" s="7" t="str">
        <f>HYPERLINK("https://ovidsp.ovid.com/ovidweb.cgi?T=JS&amp;NEWS=n&amp;CSC=Y&amp;PAGE=booktext&amp;D=books&amp;SC=01434511&amp;EPUB=Y","https://ovidsp.ovid.com/ovidweb.cgi?T=JS&amp;NEWS=n&amp;CSC=Y&amp;PAGE=booktext&amp;D=books&amp;SC=01434511&amp;EPUB=Y")</f>
        <v>https://ovidsp.ovid.com/ovidweb.cgi?T=JS&amp;NEWS=n&amp;CSC=Y&amp;PAGE=booktext&amp;D=books&amp;SC=01434511&amp;EPUB=Y</v>
      </c>
      <c r="H924" s="8" t="s">
        <v>1795</v>
      </c>
    </row>
    <row r="925" spans="1:8" x14ac:dyDescent="0.3">
      <c r="A925" s="4" t="s">
        <v>2288</v>
      </c>
      <c r="B925" s="5">
        <v>44893</v>
      </c>
      <c r="C925" s="6" t="s">
        <v>1821</v>
      </c>
      <c r="D925" s="6" t="s">
        <v>347</v>
      </c>
      <c r="E925" s="6" t="s">
        <v>2503</v>
      </c>
      <c r="F925" s="6" t="s">
        <v>1208</v>
      </c>
      <c r="G925" s="7" t="str">
        <f>HYPERLINK("https://ovidsp.ovid.com/ovidweb.cgi?T=JS&amp;NEWS=n&amp;CSC=Y&amp;PAGE=booktext&amp;D=books&amp;SC=01720300&amp;EPUB=Y","https://ovidsp.ovid.com/ovidweb.cgi?T=JS&amp;NEWS=n&amp;CSC=Y&amp;PAGE=booktext&amp;D=books&amp;SC=01720300&amp;EPUB=Y")</f>
        <v>https://ovidsp.ovid.com/ovidweb.cgi?T=JS&amp;NEWS=n&amp;CSC=Y&amp;PAGE=booktext&amp;D=books&amp;SC=01720300&amp;EPUB=Y</v>
      </c>
      <c r="H925" s="8" t="s">
        <v>1795</v>
      </c>
    </row>
    <row r="926" spans="1:8" x14ac:dyDescent="0.3">
      <c r="A926" s="4" t="s">
        <v>1823</v>
      </c>
      <c r="B926" s="5">
        <v>44893</v>
      </c>
      <c r="C926" s="6" t="s">
        <v>2360</v>
      </c>
      <c r="D926" s="6" t="s">
        <v>1608</v>
      </c>
      <c r="E926" s="6" t="s">
        <v>2503</v>
      </c>
      <c r="F926" s="6" t="s">
        <v>1208</v>
      </c>
      <c r="G926" s="7" t="str">
        <f>HYPERLINK("https://ovidsp.ovid.com/ovidweb.cgi?T=JS&amp;NEWS=n&amp;CSC=Y&amp;PAGE=booktext&amp;D=books&amp;SC=01434557&amp;EPUB=Y","https://ovidsp.ovid.com/ovidweb.cgi?T=JS&amp;NEWS=n&amp;CSC=Y&amp;PAGE=booktext&amp;D=books&amp;SC=01434557&amp;EPUB=Y")</f>
        <v>https://ovidsp.ovid.com/ovidweb.cgi?T=JS&amp;NEWS=n&amp;CSC=Y&amp;PAGE=booktext&amp;D=books&amp;SC=01434557&amp;EPUB=Y</v>
      </c>
      <c r="H926" s="8" t="s">
        <v>1795</v>
      </c>
    </row>
    <row r="927" spans="1:8" x14ac:dyDescent="0.3">
      <c r="A927" s="4" t="s">
        <v>1338</v>
      </c>
      <c r="B927" s="5">
        <v>44893</v>
      </c>
      <c r="C927" s="6" t="s">
        <v>2367</v>
      </c>
      <c r="D927" s="6" t="s">
        <v>1643</v>
      </c>
      <c r="E927" s="6" t="s">
        <v>2503</v>
      </c>
      <c r="F927" s="6" t="s">
        <v>1208</v>
      </c>
      <c r="G927" s="7" t="str">
        <f>HYPERLINK("https://ovidsp.ovid.com/ovidweb.cgi?T=JS&amp;NEWS=n&amp;CSC=Y&amp;PAGE=booktext&amp;D=books&amp;SC=01434469&amp;EPUB=Y","https://ovidsp.ovid.com/ovidweb.cgi?T=JS&amp;NEWS=n&amp;CSC=Y&amp;PAGE=booktext&amp;D=books&amp;SC=01434469&amp;EPUB=Y")</f>
        <v>https://ovidsp.ovid.com/ovidweb.cgi?T=JS&amp;NEWS=n&amp;CSC=Y&amp;PAGE=booktext&amp;D=books&amp;SC=01434469&amp;EPUB=Y</v>
      </c>
      <c r="H927" s="8" t="s">
        <v>1795</v>
      </c>
    </row>
    <row r="928" spans="1:8" x14ac:dyDescent="0.3">
      <c r="A928" s="4" t="s">
        <v>1338</v>
      </c>
      <c r="B928" s="5">
        <v>44893</v>
      </c>
      <c r="C928" s="6" t="s">
        <v>1239</v>
      </c>
      <c r="D928" s="6" t="s">
        <v>94</v>
      </c>
      <c r="E928" s="6" t="s">
        <v>2503</v>
      </c>
      <c r="F928" s="6" t="s">
        <v>241</v>
      </c>
      <c r="G928" s="7" t="str">
        <f>HYPERLINK("https://ovidsp.ovid.com/ovidweb.cgi?T=JS&amp;NEWS=n&amp;CSC=Y&amp;PAGE=booktext&amp;D=books&amp;SC=02091986&amp;EPUB=Y","https://ovidsp.ovid.com/ovidweb.cgi?T=JS&amp;NEWS=n&amp;CSC=Y&amp;PAGE=booktext&amp;D=books&amp;SC=02091986&amp;EPUB=Y")</f>
        <v>https://ovidsp.ovid.com/ovidweb.cgi?T=JS&amp;NEWS=n&amp;CSC=Y&amp;PAGE=booktext&amp;D=books&amp;SC=02091986&amp;EPUB=Y</v>
      </c>
      <c r="H928" s="8" t="s">
        <v>1795</v>
      </c>
    </row>
    <row r="929" spans="1:8" x14ac:dyDescent="0.3">
      <c r="A929" s="4" t="s">
        <v>783</v>
      </c>
      <c r="B929" s="5">
        <v>44893</v>
      </c>
      <c r="C929" s="6" t="s">
        <v>1582</v>
      </c>
      <c r="D929" s="6" t="s">
        <v>2111</v>
      </c>
      <c r="E929" s="6" t="s">
        <v>2503</v>
      </c>
      <c r="F929" s="6" t="s">
        <v>1208</v>
      </c>
      <c r="G929" s="7" t="str">
        <f>HYPERLINK("https://ovidsp.ovid.com/ovidweb.cgi?T=JS&amp;NEWS=n&amp;CSC=Y&amp;PAGE=booktext&amp;D=books&amp;SC=02186173&amp;EPUB=Y","https://ovidsp.ovid.com/ovidweb.cgi?T=JS&amp;NEWS=n&amp;CSC=Y&amp;PAGE=booktext&amp;D=books&amp;SC=02186173&amp;EPUB=Y")</f>
        <v>https://ovidsp.ovid.com/ovidweb.cgi?T=JS&amp;NEWS=n&amp;CSC=Y&amp;PAGE=booktext&amp;D=books&amp;SC=02186173&amp;EPUB=Y</v>
      </c>
      <c r="H929" s="8" t="s">
        <v>1795</v>
      </c>
    </row>
    <row r="930" spans="1:8" x14ac:dyDescent="0.3">
      <c r="A930" s="4" t="s">
        <v>147</v>
      </c>
      <c r="B930" s="5">
        <v>44893</v>
      </c>
      <c r="C930" s="6" t="s">
        <v>2367</v>
      </c>
      <c r="D930" s="6" t="s">
        <v>1643</v>
      </c>
      <c r="E930" s="6" t="s">
        <v>2503</v>
      </c>
      <c r="F930" s="6" t="s">
        <v>1208</v>
      </c>
      <c r="G930" s="7" t="str">
        <f>HYPERLINK("https://ovidsp.ovid.com/ovidweb.cgi?T=JS&amp;NEWS=n&amp;CSC=Y&amp;PAGE=booktext&amp;D=books&amp;SC=01434385&amp;EPUB=Y","https://ovidsp.ovid.com/ovidweb.cgi?T=JS&amp;NEWS=n&amp;CSC=Y&amp;PAGE=booktext&amp;D=books&amp;SC=01434385&amp;EPUB=Y")</f>
        <v>https://ovidsp.ovid.com/ovidweb.cgi?T=JS&amp;NEWS=n&amp;CSC=Y&amp;PAGE=booktext&amp;D=books&amp;SC=01434385&amp;EPUB=Y</v>
      </c>
      <c r="H930" s="8" t="s">
        <v>1795</v>
      </c>
    </row>
    <row r="931" spans="1:8" x14ac:dyDescent="0.3">
      <c r="A931" s="4" t="s">
        <v>2391</v>
      </c>
      <c r="B931" s="5">
        <v>44893</v>
      </c>
      <c r="C931" s="6" t="s">
        <v>977</v>
      </c>
      <c r="D931" s="6" t="s">
        <v>1767</v>
      </c>
      <c r="E931" s="6" t="s">
        <v>2503</v>
      </c>
      <c r="F931" s="6" t="s">
        <v>1208</v>
      </c>
      <c r="G931" s="7" t="str">
        <f>HYPERLINK("https://ovidsp.ovid.com/ovidweb.cgi?T=JS&amp;NEWS=n&amp;CSC=Y&amp;PAGE=booktext&amp;D=books&amp;SC=02087404&amp;EPUB=Y","https://ovidsp.ovid.com/ovidweb.cgi?T=JS&amp;NEWS=n&amp;CSC=Y&amp;PAGE=booktext&amp;D=books&amp;SC=02087404&amp;EPUB=Y")</f>
        <v>https://ovidsp.ovid.com/ovidweb.cgi?T=JS&amp;NEWS=n&amp;CSC=Y&amp;PAGE=booktext&amp;D=books&amp;SC=02087404&amp;EPUB=Y</v>
      </c>
      <c r="H931" s="8" t="s">
        <v>1795</v>
      </c>
    </row>
    <row r="932" spans="1:8" x14ac:dyDescent="0.3">
      <c r="A932" s="4" t="s">
        <v>364</v>
      </c>
      <c r="B932" s="5">
        <v>44893</v>
      </c>
      <c r="C932" s="6" t="s">
        <v>2367</v>
      </c>
      <c r="D932" s="6" t="s">
        <v>1643</v>
      </c>
      <c r="E932" s="6" t="s">
        <v>2503</v>
      </c>
      <c r="F932" s="6" t="s">
        <v>1208</v>
      </c>
      <c r="G932" s="7" t="str">
        <f>HYPERLINK("https://ovidsp.ovid.com/ovidweb.cgi?T=JS&amp;NEWS=n&amp;CSC=Y&amp;PAGE=booktext&amp;D=books&amp;SC=01434240&amp;EPUB=Y","https://ovidsp.ovid.com/ovidweb.cgi?T=JS&amp;NEWS=n&amp;CSC=Y&amp;PAGE=booktext&amp;D=books&amp;SC=01434240&amp;EPUB=Y")</f>
        <v>https://ovidsp.ovid.com/ovidweb.cgi?T=JS&amp;NEWS=n&amp;CSC=Y&amp;PAGE=booktext&amp;D=books&amp;SC=01434240&amp;EPUB=Y</v>
      </c>
      <c r="H932" s="8" t="s">
        <v>1795</v>
      </c>
    </row>
    <row r="933" spans="1:8" x14ac:dyDescent="0.3">
      <c r="A933" s="4" t="s">
        <v>1783</v>
      </c>
      <c r="B933" s="5">
        <v>44893</v>
      </c>
      <c r="C933" s="6" t="s">
        <v>2182</v>
      </c>
      <c r="D933" s="6" t="s">
        <v>1272</v>
      </c>
      <c r="E933" s="6" t="s">
        <v>2503</v>
      </c>
      <c r="F933" s="6" t="s">
        <v>1208</v>
      </c>
      <c r="G933" s="7" t="str">
        <f>HYPERLINK("https://ovidsp.ovid.com/ovidweb.cgi?T=JS&amp;NEWS=n&amp;CSC=Y&amp;PAGE=booktext&amp;D=books&amp;SC=01434599&amp;EPUB=Y","https://ovidsp.ovid.com/ovidweb.cgi?T=JS&amp;NEWS=n&amp;CSC=Y&amp;PAGE=booktext&amp;D=books&amp;SC=01434599&amp;EPUB=Y")</f>
        <v>https://ovidsp.ovid.com/ovidweb.cgi?T=JS&amp;NEWS=n&amp;CSC=Y&amp;PAGE=booktext&amp;D=books&amp;SC=01434599&amp;EPUB=Y</v>
      </c>
      <c r="H933" s="8" t="s">
        <v>1795</v>
      </c>
    </row>
    <row r="934" spans="1:8" x14ac:dyDescent="0.3">
      <c r="A934" s="4" t="s">
        <v>2548</v>
      </c>
      <c r="B934" s="5">
        <v>44893</v>
      </c>
      <c r="C934" s="6" t="s">
        <v>360</v>
      </c>
      <c r="D934" s="6" t="s">
        <v>1730</v>
      </c>
      <c r="E934" s="6" t="s">
        <v>2503</v>
      </c>
      <c r="F934" s="6" t="s">
        <v>1208</v>
      </c>
      <c r="G934" s="7" t="str">
        <f>HYPERLINK("https://ovidsp.ovid.com/ovidweb.cgi?T=JS&amp;NEWS=n&amp;CSC=Y&amp;PAGE=booktext&amp;D=books&amp;SC=02211125&amp;EPUB=Y","https://ovidsp.ovid.com/ovidweb.cgi?T=JS&amp;NEWS=n&amp;CSC=Y&amp;PAGE=booktext&amp;D=books&amp;SC=02211125&amp;EPUB=Y")</f>
        <v>https://ovidsp.ovid.com/ovidweb.cgi?T=JS&amp;NEWS=n&amp;CSC=Y&amp;PAGE=booktext&amp;D=books&amp;SC=02211125&amp;EPUB=Y</v>
      </c>
      <c r="H934" s="8" t="s">
        <v>1795</v>
      </c>
    </row>
    <row r="935" spans="1:8" x14ac:dyDescent="0.3">
      <c r="A935" s="4" t="s">
        <v>1927</v>
      </c>
      <c r="B935" s="5">
        <v>44893</v>
      </c>
      <c r="C935" s="6" t="s">
        <v>2350</v>
      </c>
      <c r="D935" s="6" t="s">
        <v>2026</v>
      </c>
      <c r="E935" s="6" t="s">
        <v>2503</v>
      </c>
      <c r="F935" s="6" t="s">
        <v>1208</v>
      </c>
      <c r="G935" s="7" t="str">
        <f>HYPERLINK("https://ovidsp.ovid.com/ovidweb.cgi?T=JS&amp;NEWS=n&amp;CSC=Y&amp;PAGE=booktext&amp;D=books&amp;SC=01435737&amp;EPUB=Y","https://ovidsp.ovid.com/ovidweb.cgi?T=JS&amp;NEWS=n&amp;CSC=Y&amp;PAGE=booktext&amp;D=books&amp;SC=01435737&amp;EPUB=Y")</f>
        <v>https://ovidsp.ovid.com/ovidweb.cgi?T=JS&amp;NEWS=n&amp;CSC=Y&amp;PAGE=booktext&amp;D=books&amp;SC=01435737&amp;EPUB=Y</v>
      </c>
      <c r="H935" s="8" t="s">
        <v>1795</v>
      </c>
    </row>
    <row r="936" spans="1:8" x14ac:dyDescent="0.3">
      <c r="A936" s="4" t="s">
        <v>80</v>
      </c>
      <c r="B936" s="5">
        <v>44893</v>
      </c>
      <c r="C936" s="6" t="s">
        <v>1442</v>
      </c>
      <c r="D936" s="6" t="s">
        <v>344</v>
      </c>
      <c r="E936" s="6" t="s">
        <v>2503</v>
      </c>
      <c r="F936" s="6" t="s">
        <v>1208</v>
      </c>
      <c r="G936" s="7" t="str">
        <f>HYPERLINK("https://ovidsp.ovid.com/ovidweb.cgi?T=JS&amp;NEWS=n&amp;CSC=Y&amp;PAGE=booktext&amp;D=books&amp;SC=02008438&amp;EPUB=Y","https://ovidsp.ovid.com/ovidweb.cgi?T=JS&amp;NEWS=n&amp;CSC=Y&amp;PAGE=booktext&amp;D=books&amp;SC=02008438&amp;EPUB=Y")</f>
        <v>https://ovidsp.ovid.com/ovidweb.cgi?T=JS&amp;NEWS=n&amp;CSC=Y&amp;PAGE=booktext&amp;D=books&amp;SC=02008438&amp;EPUB=Y</v>
      </c>
      <c r="H936" s="8" t="s">
        <v>1795</v>
      </c>
    </row>
    <row r="937" spans="1:8" x14ac:dyDescent="0.3">
      <c r="A937" s="4" t="s">
        <v>1028</v>
      </c>
      <c r="B937" s="5">
        <v>44893</v>
      </c>
      <c r="C937" s="6" t="s">
        <v>1109</v>
      </c>
      <c r="D937" s="6" t="s">
        <v>2416</v>
      </c>
      <c r="E937" s="6" t="s">
        <v>2503</v>
      </c>
      <c r="F937" s="6" t="s">
        <v>1208</v>
      </c>
      <c r="G937" s="7" t="str">
        <f>HYPERLINK("https://ovidsp.ovid.com/ovidweb.cgi?T=JS&amp;NEWS=n&amp;CSC=Y&amp;PAGE=booktext&amp;D=books&amp;SC=01437920&amp;EPUB=Y","https://ovidsp.ovid.com/ovidweb.cgi?T=JS&amp;NEWS=n&amp;CSC=Y&amp;PAGE=booktext&amp;D=books&amp;SC=01437920&amp;EPUB=Y")</f>
        <v>https://ovidsp.ovid.com/ovidweb.cgi?T=JS&amp;NEWS=n&amp;CSC=Y&amp;PAGE=booktext&amp;D=books&amp;SC=01437920&amp;EPUB=Y</v>
      </c>
      <c r="H937" s="8" t="s">
        <v>1795</v>
      </c>
    </row>
    <row r="938" spans="1:8" x14ac:dyDescent="0.3">
      <c r="A938" s="4" t="s">
        <v>1612</v>
      </c>
      <c r="B938" s="5">
        <v>44893</v>
      </c>
      <c r="C938" s="6" t="s">
        <v>407</v>
      </c>
      <c r="D938" s="6" t="s">
        <v>515</v>
      </c>
      <c r="E938" s="6" t="s">
        <v>2503</v>
      </c>
      <c r="F938" s="6" t="s">
        <v>1208</v>
      </c>
      <c r="G938" s="7" t="str">
        <f>HYPERLINK("https://ovidsp.ovid.com/ovidweb.cgi?T=JS&amp;NEWS=n&amp;CSC=Y&amp;PAGE=booktext&amp;D=books&amp;SC=02054260&amp;EPUB=Y","https://ovidsp.ovid.com/ovidweb.cgi?T=JS&amp;NEWS=n&amp;CSC=Y&amp;PAGE=booktext&amp;D=books&amp;SC=02054260&amp;EPUB=Y")</f>
        <v>https://ovidsp.ovid.com/ovidweb.cgi?T=JS&amp;NEWS=n&amp;CSC=Y&amp;PAGE=booktext&amp;D=books&amp;SC=02054260&amp;EPUB=Y</v>
      </c>
      <c r="H938" s="8" t="s">
        <v>1795</v>
      </c>
    </row>
    <row r="939" spans="1:8" x14ac:dyDescent="0.3">
      <c r="A939" s="4" t="s">
        <v>368</v>
      </c>
      <c r="B939" s="5">
        <v>44893</v>
      </c>
      <c r="C939" s="6" t="s">
        <v>14</v>
      </c>
      <c r="D939" s="6" t="s">
        <v>2162</v>
      </c>
      <c r="E939" s="6" t="s">
        <v>2503</v>
      </c>
      <c r="F939" s="6" t="s">
        <v>1208</v>
      </c>
      <c r="G939" s="7" t="str">
        <f>HYPERLINK("https://ovidsp.ovid.com/ovidweb.cgi?T=JS&amp;NEWS=n&amp;CSC=Y&amp;PAGE=booktext&amp;D=books&amp;SC=01434624&amp;EPUB=Y","https://ovidsp.ovid.com/ovidweb.cgi?T=JS&amp;NEWS=n&amp;CSC=Y&amp;PAGE=booktext&amp;D=books&amp;SC=01434624&amp;EPUB=Y")</f>
        <v>https://ovidsp.ovid.com/ovidweb.cgi?T=JS&amp;NEWS=n&amp;CSC=Y&amp;PAGE=booktext&amp;D=books&amp;SC=01434624&amp;EPUB=Y</v>
      </c>
      <c r="H939" s="8" t="s">
        <v>1795</v>
      </c>
    </row>
    <row r="940" spans="1:8" x14ac:dyDescent="0.3">
      <c r="A940" s="4" t="s">
        <v>2236</v>
      </c>
      <c r="B940" s="5">
        <v>44893</v>
      </c>
      <c r="C940" s="6" t="s">
        <v>1733</v>
      </c>
      <c r="D940" s="6" t="s">
        <v>1204</v>
      </c>
      <c r="E940" s="6" t="s">
        <v>2503</v>
      </c>
      <c r="F940" s="6" t="s">
        <v>1208</v>
      </c>
      <c r="G940" s="7" t="str">
        <f>HYPERLINK("https://ovidsp.ovid.com/ovidweb.cgi?T=JS&amp;NEWS=n&amp;CSC=Y&amp;PAGE=booktext&amp;D=books&amp;SC=01434562&amp;EPUB=Y","https://ovidsp.ovid.com/ovidweb.cgi?T=JS&amp;NEWS=n&amp;CSC=Y&amp;PAGE=booktext&amp;D=books&amp;SC=01434562&amp;EPUB=Y")</f>
        <v>https://ovidsp.ovid.com/ovidweb.cgi?T=JS&amp;NEWS=n&amp;CSC=Y&amp;PAGE=booktext&amp;D=books&amp;SC=01434562&amp;EPUB=Y</v>
      </c>
      <c r="H940" s="8" t="s">
        <v>1795</v>
      </c>
    </row>
    <row r="941" spans="1:8" x14ac:dyDescent="0.3">
      <c r="A941" s="4" t="s">
        <v>1080</v>
      </c>
      <c r="B941" s="5">
        <v>44893</v>
      </c>
      <c r="C941" s="6" t="s">
        <v>1384</v>
      </c>
      <c r="D941" s="6" t="s">
        <v>871</v>
      </c>
      <c r="E941" s="6" t="s">
        <v>2503</v>
      </c>
      <c r="F941" s="6" t="s">
        <v>1208</v>
      </c>
      <c r="G941" s="7" t="str">
        <f>HYPERLINK("https://ovidsp.ovid.com/ovidweb.cgi?T=JS&amp;NEWS=n&amp;CSC=Y&amp;PAGE=booktext&amp;D=books&amp;SC=02029614&amp;EPUB=Y","https://ovidsp.ovid.com/ovidweb.cgi?T=JS&amp;NEWS=n&amp;CSC=Y&amp;PAGE=booktext&amp;D=books&amp;SC=02029614&amp;EPUB=Y")</f>
        <v>https://ovidsp.ovid.com/ovidweb.cgi?T=JS&amp;NEWS=n&amp;CSC=Y&amp;PAGE=booktext&amp;D=books&amp;SC=02029614&amp;EPUB=Y</v>
      </c>
      <c r="H941" s="8" t="s">
        <v>1795</v>
      </c>
    </row>
    <row r="942" spans="1:8" x14ac:dyDescent="0.3">
      <c r="A942" s="4" t="s">
        <v>912</v>
      </c>
      <c r="B942" s="5">
        <v>44893</v>
      </c>
      <c r="C942" s="6" t="s">
        <v>2367</v>
      </c>
      <c r="D942" s="6" t="s">
        <v>1643</v>
      </c>
      <c r="E942" s="6" t="s">
        <v>2503</v>
      </c>
      <c r="F942" s="6" t="s">
        <v>1208</v>
      </c>
      <c r="G942" s="7" t="str">
        <f>HYPERLINK("https://ovidsp.ovid.com/ovidweb.cgi?T=JS&amp;NEWS=n&amp;CSC=Y&amp;PAGE=booktext&amp;D=books&amp;SC=01434400&amp;EPUB=Y","https://ovidsp.ovid.com/ovidweb.cgi?T=JS&amp;NEWS=n&amp;CSC=Y&amp;PAGE=booktext&amp;D=books&amp;SC=01434400&amp;EPUB=Y")</f>
        <v>https://ovidsp.ovid.com/ovidweb.cgi?T=JS&amp;NEWS=n&amp;CSC=Y&amp;PAGE=booktext&amp;D=books&amp;SC=01434400&amp;EPUB=Y</v>
      </c>
      <c r="H942" s="8" t="s">
        <v>1795</v>
      </c>
    </row>
    <row r="943" spans="1:8" x14ac:dyDescent="0.3">
      <c r="A943" s="4" t="s">
        <v>981</v>
      </c>
      <c r="B943" s="5">
        <v>44893</v>
      </c>
      <c r="C943" s="6" t="s">
        <v>884</v>
      </c>
      <c r="D943" s="6" t="s">
        <v>887</v>
      </c>
      <c r="E943" s="6" t="s">
        <v>2503</v>
      </c>
      <c r="F943" s="6" t="s">
        <v>1208</v>
      </c>
      <c r="G943" s="7" t="str">
        <f>HYPERLINK("https://ovidsp.ovid.com/ovidweb.cgi?T=JS&amp;NEWS=n&amp;CSC=Y&amp;PAGE=booktext&amp;D=books&amp;SC=01436997&amp;EPUB=Y","https://ovidsp.ovid.com/ovidweb.cgi?T=JS&amp;NEWS=n&amp;CSC=Y&amp;PAGE=booktext&amp;D=books&amp;SC=01436997&amp;EPUB=Y")</f>
        <v>https://ovidsp.ovid.com/ovidweb.cgi?T=JS&amp;NEWS=n&amp;CSC=Y&amp;PAGE=booktext&amp;D=books&amp;SC=01436997&amp;EPUB=Y</v>
      </c>
      <c r="H943" s="8" t="s">
        <v>1795</v>
      </c>
    </row>
    <row r="944" spans="1:8" x14ac:dyDescent="0.3">
      <c r="A944" s="4" t="s">
        <v>1709</v>
      </c>
      <c r="B944" s="5">
        <v>44893</v>
      </c>
      <c r="C944" s="6" t="s">
        <v>2001</v>
      </c>
      <c r="D944" s="6" t="s">
        <v>993</v>
      </c>
      <c r="E944" s="6" t="s">
        <v>2503</v>
      </c>
      <c r="F944" s="6" t="s">
        <v>1208</v>
      </c>
      <c r="G944" s="7" t="str">
        <f>HYPERLINK("https://ovidsp.ovid.com/ovidweb.cgi?T=JS&amp;NEWS=n&amp;CSC=Y&amp;PAGE=booktext&amp;D=books&amp;SC=01437475&amp;EPUB=Y","https://ovidsp.ovid.com/ovidweb.cgi?T=JS&amp;NEWS=n&amp;CSC=Y&amp;PAGE=booktext&amp;D=books&amp;SC=01437475&amp;EPUB=Y")</f>
        <v>https://ovidsp.ovid.com/ovidweb.cgi?T=JS&amp;NEWS=n&amp;CSC=Y&amp;PAGE=booktext&amp;D=books&amp;SC=01437475&amp;EPUB=Y</v>
      </c>
      <c r="H944" s="8" t="s">
        <v>1795</v>
      </c>
    </row>
    <row r="945" spans="1:8" x14ac:dyDescent="0.3">
      <c r="A945" s="4" t="s">
        <v>502</v>
      </c>
      <c r="B945" s="5">
        <v>44893</v>
      </c>
      <c r="C945" s="6" t="s">
        <v>196</v>
      </c>
      <c r="D945" s="6" t="s">
        <v>2500</v>
      </c>
      <c r="E945" s="6" t="s">
        <v>2503</v>
      </c>
      <c r="F945" s="6" t="s">
        <v>1208</v>
      </c>
      <c r="G945" s="7" t="str">
        <f>HYPERLINK("https://ovidsp.ovid.com/ovidweb.cgi?T=JS&amp;NEWS=n&amp;CSC=Y&amp;PAGE=booktext&amp;D=books&amp;SC=01434520&amp;EPUB=Y","https://ovidsp.ovid.com/ovidweb.cgi?T=JS&amp;NEWS=n&amp;CSC=Y&amp;PAGE=booktext&amp;D=books&amp;SC=01434520&amp;EPUB=Y")</f>
        <v>https://ovidsp.ovid.com/ovidweb.cgi?T=JS&amp;NEWS=n&amp;CSC=Y&amp;PAGE=booktext&amp;D=books&amp;SC=01434520&amp;EPUB=Y</v>
      </c>
      <c r="H945" s="8" t="s">
        <v>1795</v>
      </c>
    </row>
    <row r="946" spans="1:8" x14ac:dyDescent="0.3">
      <c r="A946" s="4" t="s">
        <v>524</v>
      </c>
      <c r="B946" s="5">
        <v>44893</v>
      </c>
      <c r="C946" s="6" t="s">
        <v>2603</v>
      </c>
      <c r="D946" s="6" t="s">
        <v>1443</v>
      </c>
      <c r="E946" s="6" t="s">
        <v>2503</v>
      </c>
      <c r="F946" s="6" t="s">
        <v>1208</v>
      </c>
      <c r="G946" s="7" t="str">
        <f>HYPERLINK("https://ovidsp.ovid.com/ovidweb.cgi?T=JS&amp;NEWS=n&amp;CSC=Y&amp;PAGE=booktext&amp;D=books&amp;SC=02273807&amp;EPUB=Y","https://ovidsp.ovid.com/ovidweb.cgi?T=JS&amp;NEWS=n&amp;CSC=Y&amp;PAGE=booktext&amp;D=books&amp;SC=02273807&amp;EPUB=Y")</f>
        <v>https://ovidsp.ovid.com/ovidweb.cgi?T=JS&amp;NEWS=n&amp;CSC=Y&amp;PAGE=booktext&amp;D=books&amp;SC=02273807&amp;EPUB=Y</v>
      </c>
      <c r="H946" s="8" t="s">
        <v>1795</v>
      </c>
    </row>
    <row r="947" spans="1:8" x14ac:dyDescent="0.3">
      <c r="A947" s="4" t="s">
        <v>1060</v>
      </c>
      <c r="B947" s="5">
        <v>44893</v>
      </c>
      <c r="C947" s="6" t="s">
        <v>2367</v>
      </c>
      <c r="D947" s="6" t="s">
        <v>1643</v>
      </c>
      <c r="E947" s="6" t="s">
        <v>2503</v>
      </c>
      <c r="F947" s="6" t="s">
        <v>1208</v>
      </c>
      <c r="G947" s="7" t="str">
        <f>HYPERLINK("https://ovidsp.ovid.com/ovidweb.cgi?T=JS&amp;NEWS=n&amp;CSC=Y&amp;PAGE=booktext&amp;D=books&amp;SC=01434476&amp;EPUB=Y","https://ovidsp.ovid.com/ovidweb.cgi?T=JS&amp;NEWS=n&amp;CSC=Y&amp;PAGE=booktext&amp;D=books&amp;SC=01434476&amp;EPUB=Y")</f>
        <v>https://ovidsp.ovid.com/ovidweb.cgi?T=JS&amp;NEWS=n&amp;CSC=Y&amp;PAGE=booktext&amp;D=books&amp;SC=01434476&amp;EPUB=Y</v>
      </c>
      <c r="H947" s="8" t="s">
        <v>1795</v>
      </c>
    </row>
    <row r="948" spans="1:8" x14ac:dyDescent="0.3">
      <c r="A948" s="4" t="s">
        <v>350</v>
      </c>
      <c r="B948" s="5">
        <v>44893</v>
      </c>
      <c r="C948" s="6" t="s">
        <v>1553</v>
      </c>
      <c r="D948" s="6" t="s">
        <v>1054</v>
      </c>
      <c r="E948" s="6" t="s">
        <v>2503</v>
      </c>
      <c r="F948" s="6" t="s">
        <v>1208</v>
      </c>
      <c r="G948" s="7" t="str">
        <f>HYPERLINK("https://ovidsp.ovid.com/ovidweb.cgi?T=JS&amp;NEWS=n&amp;CSC=Y&amp;PAGE=booktext&amp;D=books&amp;SC=01434513&amp;EPUB=Y","https://ovidsp.ovid.com/ovidweb.cgi?T=JS&amp;NEWS=n&amp;CSC=Y&amp;PAGE=booktext&amp;D=books&amp;SC=01434513&amp;EPUB=Y")</f>
        <v>https://ovidsp.ovid.com/ovidweb.cgi?T=JS&amp;NEWS=n&amp;CSC=Y&amp;PAGE=booktext&amp;D=books&amp;SC=01434513&amp;EPUB=Y</v>
      </c>
      <c r="H948" s="8" t="s">
        <v>1795</v>
      </c>
    </row>
    <row r="949" spans="1:8" x14ac:dyDescent="0.3">
      <c r="A949" s="4" t="s">
        <v>1988</v>
      </c>
      <c r="B949" s="5">
        <v>44893</v>
      </c>
      <c r="C949" s="6" t="s">
        <v>1267</v>
      </c>
      <c r="D949" s="6" t="s">
        <v>2428</v>
      </c>
      <c r="E949" s="6" t="s">
        <v>2503</v>
      </c>
      <c r="F949" s="6" t="s">
        <v>1208</v>
      </c>
      <c r="G949" s="7" t="str">
        <f>HYPERLINK("https://ovidsp.ovid.com/ovidweb.cgi?T=JS&amp;NEWS=n&amp;CSC=Y&amp;PAGE=booktext&amp;D=books&amp;SC=01845220&amp;EPUB=Y","https://ovidsp.ovid.com/ovidweb.cgi?T=JS&amp;NEWS=n&amp;CSC=Y&amp;PAGE=booktext&amp;D=books&amp;SC=01845220&amp;EPUB=Y")</f>
        <v>https://ovidsp.ovid.com/ovidweb.cgi?T=JS&amp;NEWS=n&amp;CSC=Y&amp;PAGE=booktext&amp;D=books&amp;SC=01845220&amp;EPUB=Y</v>
      </c>
      <c r="H949" s="8" t="s">
        <v>1795</v>
      </c>
    </row>
    <row r="950" spans="1:8" x14ac:dyDescent="0.3">
      <c r="A950" s="4" t="s">
        <v>48</v>
      </c>
      <c r="B950" s="5">
        <v>44893</v>
      </c>
      <c r="C950" s="6" t="s">
        <v>2002</v>
      </c>
      <c r="D950" s="6" t="s">
        <v>1943</v>
      </c>
      <c r="E950" s="6" t="s">
        <v>2503</v>
      </c>
      <c r="F950" s="6" t="s">
        <v>1208</v>
      </c>
      <c r="G950" s="7" t="str">
        <f>HYPERLINK("https://ovidsp.ovid.com/ovidweb.cgi?T=JS&amp;NEWS=n&amp;CSC=Y&amp;PAGE=booktext&amp;D=books&amp;SC=01434645&amp;EPUB=Y","https://ovidsp.ovid.com/ovidweb.cgi?T=JS&amp;NEWS=n&amp;CSC=Y&amp;PAGE=booktext&amp;D=books&amp;SC=01434645&amp;EPUB=Y")</f>
        <v>https://ovidsp.ovid.com/ovidweb.cgi?T=JS&amp;NEWS=n&amp;CSC=Y&amp;PAGE=booktext&amp;D=books&amp;SC=01434645&amp;EPUB=Y</v>
      </c>
      <c r="H950" s="8" t="s">
        <v>1795</v>
      </c>
    </row>
    <row r="951" spans="1:8" x14ac:dyDescent="0.3">
      <c r="A951" s="4" t="s">
        <v>1158</v>
      </c>
      <c r="B951" s="5">
        <v>44893</v>
      </c>
      <c r="C951" s="6" t="s">
        <v>2367</v>
      </c>
      <c r="D951" s="6" t="s">
        <v>1643</v>
      </c>
      <c r="E951" s="6" t="s">
        <v>2503</v>
      </c>
      <c r="F951" s="6" t="s">
        <v>1208</v>
      </c>
      <c r="G951" s="7" t="str">
        <f>HYPERLINK("https://ovidsp.ovid.com/ovidweb.cgi?T=JS&amp;NEWS=n&amp;CSC=Y&amp;PAGE=booktext&amp;D=books&amp;SC=01434290&amp;EPUB=Y","https://ovidsp.ovid.com/ovidweb.cgi?T=JS&amp;NEWS=n&amp;CSC=Y&amp;PAGE=booktext&amp;D=books&amp;SC=01434290&amp;EPUB=Y")</f>
        <v>https://ovidsp.ovid.com/ovidweb.cgi?T=JS&amp;NEWS=n&amp;CSC=Y&amp;PAGE=booktext&amp;D=books&amp;SC=01434290&amp;EPUB=Y</v>
      </c>
      <c r="H951" s="8" t="s">
        <v>1795</v>
      </c>
    </row>
    <row r="952" spans="1:8" x14ac:dyDescent="0.3">
      <c r="A952" s="4" t="s">
        <v>2016</v>
      </c>
      <c r="B952" s="5">
        <v>44893</v>
      </c>
      <c r="C952" s="6" t="s">
        <v>1453</v>
      </c>
      <c r="D952" s="6" t="s">
        <v>425</v>
      </c>
      <c r="E952" s="6" t="s">
        <v>2503</v>
      </c>
      <c r="F952" s="6" t="s">
        <v>1208</v>
      </c>
      <c r="G952" s="7" t="str">
        <f>HYPERLINK("https://ovidsp.ovid.com/ovidweb.cgi?T=JS&amp;NEWS=n&amp;CSC=Y&amp;PAGE=booktext&amp;D=books&amp;SC=01845210&amp;EPUB=Y","https://ovidsp.ovid.com/ovidweb.cgi?T=JS&amp;NEWS=n&amp;CSC=Y&amp;PAGE=booktext&amp;D=books&amp;SC=01845210&amp;EPUB=Y")</f>
        <v>https://ovidsp.ovid.com/ovidweb.cgi?T=JS&amp;NEWS=n&amp;CSC=Y&amp;PAGE=booktext&amp;D=books&amp;SC=01845210&amp;EPUB=Y</v>
      </c>
      <c r="H952" s="8" t="s">
        <v>1795</v>
      </c>
    </row>
    <row r="953" spans="1:8" x14ac:dyDescent="0.3">
      <c r="A953" s="4" t="s">
        <v>926</v>
      </c>
      <c r="B953" s="5">
        <v>44893</v>
      </c>
      <c r="C953" s="6" t="s">
        <v>2367</v>
      </c>
      <c r="D953" s="6" t="s">
        <v>1643</v>
      </c>
      <c r="E953" s="6" t="s">
        <v>2503</v>
      </c>
      <c r="F953" s="6" t="s">
        <v>1208</v>
      </c>
      <c r="G953" s="7" t="str">
        <f>HYPERLINK("https://ovidsp.ovid.com/ovidweb.cgi?T=JS&amp;NEWS=n&amp;CSC=Y&amp;PAGE=booktext&amp;D=books&amp;SC=01434348&amp;EPUB=Y","https://ovidsp.ovid.com/ovidweb.cgi?T=JS&amp;NEWS=n&amp;CSC=Y&amp;PAGE=booktext&amp;D=books&amp;SC=01434348&amp;EPUB=Y")</f>
        <v>https://ovidsp.ovid.com/ovidweb.cgi?T=JS&amp;NEWS=n&amp;CSC=Y&amp;PAGE=booktext&amp;D=books&amp;SC=01434348&amp;EPUB=Y</v>
      </c>
      <c r="H953" s="8" t="s">
        <v>1795</v>
      </c>
    </row>
    <row r="954" spans="1:8" x14ac:dyDescent="0.3">
      <c r="A954" s="4" t="s">
        <v>287</v>
      </c>
      <c r="B954" s="5">
        <v>44893</v>
      </c>
      <c r="C954" s="6" t="s">
        <v>311</v>
      </c>
      <c r="D954" s="6" t="s">
        <v>2245</v>
      </c>
      <c r="E954" s="6" t="s">
        <v>2503</v>
      </c>
      <c r="F954" s="6" t="s">
        <v>1208</v>
      </c>
      <c r="G954" s="7" t="str">
        <f>HYPERLINK("https://ovidsp.ovid.com/ovidweb.cgi?T=JS&amp;NEWS=n&amp;CSC=Y&amp;PAGE=booktext&amp;D=books&amp;SC=02227866&amp;EPUB=Y","https://ovidsp.ovid.com/ovidweb.cgi?T=JS&amp;NEWS=n&amp;CSC=Y&amp;PAGE=booktext&amp;D=books&amp;SC=02227866&amp;EPUB=Y")</f>
        <v>https://ovidsp.ovid.com/ovidweb.cgi?T=JS&amp;NEWS=n&amp;CSC=Y&amp;PAGE=booktext&amp;D=books&amp;SC=02227866&amp;EPUB=Y</v>
      </c>
      <c r="H954" s="8" t="s">
        <v>1795</v>
      </c>
    </row>
    <row r="955" spans="1:8" x14ac:dyDescent="0.3">
      <c r="A955" s="4" t="s">
        <v>1202</v>
      </c>
      <c r="B955" s="5">
        <v>44893</v>
      </c>
      <c r="C955" s="6" t="s">
        <v>2367</v>
      </c>
      <c r="D955" s="6" t="s">
        <v>1643</v>
      </c>
      <c r="E955" s="6" t="s">
        <v>2503</v>
      </c>
      <c r="F955" s="6" t="s">
        <v>1208</v>
      </c>
      <c r="G955" s="7" t="str">
        <f>HYPERLINK("https://ovidsp.ovid.com/ovidweb.cgi?T=JS&amp;NEWS=n&amp;CSC=Y&amp;PAGE=booktext&amp;D=books&amp;SC=01434394&amp;EPUB=Y","https://ovidsp.ovid.com/ovidweb.cgi?T=JS&amp;NEWS=n&amp;CSC=Y&amp;PAGE=booktext&amp;D=books&amp;SC=01434394&amp;EPUB=Y")</f>
        <v>https://ovidsp.ovid.com/ovidweb.cgi?T=JS&amp;NEWS=n&amp;CSC=Y&amp;PAGE=booktext&amp;D=books&amp;SC=01434394&amp;EPUB=Y</v>
      </c>
      <c r="H955" s="8" t="s">
        <v>1795</v>
      </c>
    </row>
    <row r="956" spans="1:8" x14ac:dyDescent="0.3">
      <c r="A956" s="4" t="s">
        <v>1302</v>
      </c>
      <c r="B956" s="5">
        <v>44893</v>
      </c>
      <c r="C956" s="6" t="s">
        <v>1753</v>
      </c>
      <c r="D956" s="6" t="s">
        <v>1643</v>
      </c>
      <c r="E956" s="6" t="s">
        <v>2503</v>
      </c>
      <c r="F956" s="6" t="s">
        <v>1208</v>
      </c>
      <c r="G956" s="7" t="str">
        <f>HYPERLINK("https://ovidsp.ovid.com/ovidweb.cgi?T=JS&amp;NEWS=n&amp;CSC=Y&amp;PAGE=booktext&amp;D=books&amp;SC=01434512&amp;EPUB=Y","https://ovidsp.ovid.com/ovidweb.cgi?T=JS&amp;NEWS=n&amp;CSC=Y&amp;PAGE=booktext&amp;D=books&amp;SC=01434512&amp;EPUB=Y")</f>
        <v>https://ovidsp.ovid.com/ovidweb.cgi?T=JS&amp;NEWS=n&amp;CSC=Y&amp;PAGE=booktext&amp;D=books&amp;SC=01434512&amp;EPUB=Y</v>
      </c>
      <c r="H956" s="8" t="s">
        <v>1795</v>
      </c>
    </row>
    <row r="957" spans="1:8" x14ac:dyDescent="0.3">
      <c r="A957" s="4" t="s">
        <v>876</v>
      </c>
      <c r="B957" s="5">
        <v>44893</v>
      </c>
      <c r="C957" s="6" t="s">
        <v>223</v>
      </c>
      <c r="D957" s="6" t="s">
        <v>518</v>
      </c>
      <c r="E957" s="6" t="s">
        <v>2503</v>
      </c>
      <c r="F957" s="6" t="s">
        <v>1208</v>
      </c>
      <c r="G957" s="7" t="str">
        <f>HYPERLINK("https://ovidsp.ovid.com/ovidweb.cgi?T=JS&amp;NEWS=n&amp;CSC=Y&amp;PAGE=booktext&amp;D=books&amp;SC=01434499&amp;EPUB=Y","https://ovidsp.ovid.com/ovidweb.cgi?T=JS&amp;NEWS=n&amp;CSC=Y&amp;PAGE=booktext&amp;D=books&amp;SC=01434499&amp;EPUB=Y")</f>
        <v>https://ovidsp.ovid.com/ovidweb.cgi?T=JS&amp;NEWS=n&amp;CSC=Y&amp;PAGE=booktext&amp;D=books&amp;SC=01434499&amp;EPUB=Y</v>
      </c>
      <c r="H957" s="8" t="s">
        <v>1795</v>
      </c>
    </row>
    <row r="958" spans="1:8" x14ac:dyDescent="0.3">
      <c r="A958" s="4" t="s">
        <v>2003</v>
      </c>
      <c r="B958" s="5">
        <v>44893</v>
      </c>
      <c r="C958" s="6" t="s">
        <v>2367</v>
      </c>
      <c r="D958" s="6" t="s">
        <v>1643</v>
      </c>
      <c r="E958" s="6" t="s">
        <v>2503</v>
      </c>
      <c r="F958" s="6" t="s">
        <v>1208</v>
      </c>
      <c r="G958" s="7" t="str">
        <f>HYPERLINK("https://ovidsp.ovid.com/ovidweb.cgi?T=JS&amp;NEWS=n&amp;CSC=Y&amp;PAGE=booktext&amp;D=books&amp;SC=01434281&amp;EPUB=Y","https://ovidsp.ovid.com/ovidweb.cgi?T=JS&amp;NEWS=n&amp;CSC=Y&amp;PAGE=booktext&amp;D=books&amp;SC=01434281&amp;EPUB=Y")</f>
        <v>https://ovidsp.ovid.com/ovidweb.cgi?T=JS&amp;NEWS=n&amp;CSC=Y&amp;PAGE=booktext&amp;D=books&amp;SC=01434281&amp;EPUB=Y</v>
      </c>
      <c r="H958" s="8" t="s">
        <v>1795</v>
      </c>
    </row>
    <row r="959" spans="1:8" x14ac:dyDescent="0.3">
      <c r="A959" s="4" t="s">
        <v>1141</v>
      </c>
      <c r="B959" s="5">
        <v>44893</v>
      </c>
      <c r="C959" s="6" t="s">
        <v>1521</v>
      </c>
      <c r="D959" s="6" t="s">
        <v>459</v>
      </c>
      <c r="E959" s="6" t="s">
        <v>2503</v>
      </c>
      <c r="F959" s="6" t="s">
        <v>1208</v>
      </c>
      <c r="G959" s="7" t="str">
        <f>HYPERLINK("https://ovidsp.ovid.com/ovidweb.cgi?T=JS&amp;NEWS=n&amp;CSC=Y&amp;PAGE=booktext&amp;D=books&amp;SC=01434612&amp;EPUB=Y","https://ovidsp.ovid.com/ovidweb.cgi?T=JS&amp;NEWS=n&amp;CSC=Y&amp;PAGE=booktext&amp;D=books&amp;SC=01434612&amp;EPUB=Y")</f>
        <v>https://ovidsp.ovid.com/ovidweb.cgi?T=JS&amp;NEWS=n&amp;CSC=Y&amp;PAGE=booktext&amp;D=books&amp;SC=01434612&amp;EPUB=Y</v>
      </c>
      <c r="H959" s="8" t="s">
        <v>1795</v>
      </c>
    </row>
    <row r="960" spans="1:8" x14ac:dyDescent="0.3">
      <c r="A960" s="4" t="s">
        <v>2467</v>
      </c>
      <c r="B960" s="5">
        <v>44893</v>
      </c>
      <c r="C960" s="6" t="s">
        <v>339</v>
      </c>
      <c r="D960" s="6" t="s">
        <v>1990</v>
      </c>
      <c r="E960" s="6" t="s">
        <v>2503</v>
      </c>
      <c r="F960" s="6" t="s">
        <v>1208</v>
      </c>
      <c r="G960" s="7" t="str">
        <f>HYPERLINK("https://ovidsp.ovid.com/ovidweb.cgi?T=JS&amp;NEWS=n&amp;CSC=Y&amp;PAGE=booktext&amp;D=books&amp;SC=02060385&amp;EPUB=Y","https://ovidsp.ovid.com/ovidweb.cgi?T=JS&amp;NEWS=n&amp;CSC=Y&amp;PAGE=booktext&amp;D=books&amp;SC=02060385&amp;EPUB=Y")</f>
        <v>https://ovidsp.ovid.com/ovidweb.cgi?T=JS&amp;NEWS=n&amp;CSC=Y&amp;PAGE=booktext&amp;D=books&amp;SC=02060385&amp;EPUB=Y</v>
      </c>
      <c r="H960" s="8" t="s">
        <v>1795</v>
      </c>
    </row>
    <row r="961" spans="1:8" x14ac:dyDescent="0.3">
      <c r="A961" s="4" t="s">
        <v>1000</v>
      </c>
      <c r="B961" s="5">
        <v>44893</v>
      </c>
      <c r="C961" s="6" t="s">
        <v>1807</v>
      </c>
      <c r="D961" s="6" t="s">
        <v>652</v>
      </c>
      <c r="E961" s="6" t="s">
        <v>2503</v>
      </c>
      <c r="F961" s="6" t="s">
        <v>1208</v>
      </c>
      <c r="G961" s="7" t="str">
        <f>HYPERLINK("https://ovidsp.ovid.com/ovidweb.cgi?T=JS&amp;NEWS=n&amp;CSC=Y&amp;PAGE=booktext&amp;D=books&amp;SC=02272667&amp;EPUB=Y","https://ovidsp.ovid.com/ovidweb.cgi?T=JS&amp;NEWS=n&amp;CSC=Y&amp;PAGE=booktext&amp;D=books&amp;SC=02272667&amp;EPUB=Y")</f>
        <v>https://ovidsp.ovid.com/ovidweb.cgi?T=JS&amp;NEWS=n&amp;CSC=Y&amp;PAGE=booktext&amp;D=books&amp;SC=02272667&amp;EPUB=Y</v>
      </c>
      <c r="H961" s="8" t="s">
        <v>1795</v>
      </c>
    </row>
    <row r="962" spans="1:8" x14ac:dyDescent="0.3">
      <c r="A962" s="4" t="s">
        <v>127</v>
      </c>
      <c r="B962" s="5">
        <v>44893</v>
      </c>
      <c r="C962" s="6" t="s">
        <v>760</v>
      </c>
      <c r="D962" s="6" t="s">
        <v>1743</v>
      </c>
      <c r="E962" s="6" t="s">
        <v>2503</v>
      </c>
      <c r="F962" s="6" t="s">
        <v>1208</v>
      </c>
      <c r="G962" s="7" t="str">
        <f>HYPERLINK("https://ovidsp.ovid.com/ovidweb.cgi?T=JS&amp;NEWS=n&amp;CSC=Y&amp;PAGE=booktext&amp;D=books&amp;SC=02273825&amp;EPUB=Y","https://ovidsp.ovid.com/ovidweb.cgi?T=JS&amp;NEWS=n&amp;CSC=Y&amp;PAGE=booktext&amp;D=books&amp;SC=02273825&amp;EPUB=Y")</f>
        <v>https://ovidsp.ovid.com/ovidweb.cgi?T=JS&amp;NEWS=n&amp;CSC=Y&amp;PAGE=booktext&amp;D=books&amp;SC=02273825&amp;EPUB=Y</v>
      </c>
      <c r="H962" s="8" t="s">
        <v>1795</v>
      </c>
    </row>
    <row r="963" spans="1:8" x14ac:dyDescent="0.3">
      <c r="A963" s="4" t="s">
        <v>1907</v>
      </c>
      <c r="B963" s="5">
        <v>44893</v>
      </c>
      <c r="C963" s="6" t="s">
        <v>2561</v>
      </c>
      <c r="D963" s="6" t="s">
        <v>578</v>
      </c>
      <c r="E963" s="6" t="s">
        <v>2503</v>
      </c>
      <c r="F963" s="6" t="s">
        <v>1208</v>
      </c>
      <c r="G963" s="7" t="str">
        <f>HYPERLINK("https://ovidsp.ovid.com/ovidweb.cgi?T=JS&amp;NEWS=n&amp;CSC=Y&amp;PAGE=booktext&amp;D=books&amp;SC=02205916&amp;EPUB=Y","https://ovidsp.ovid.com/ovidweb.cgi?T=JS&amp;NEWS=n&amp;CSC=Y&amp;PAGE=booktext&amp;D=books&amp;SC=02205916&amp;EPUB=Y")</f>
        <v>https://ovidsp.ovid.com/ovidweb.cgi?T=JS&amp;NEWS=n&amp;CSC=Y&amp;PAGE=booktext&amp;D=books&amp;SC=02205916&amp;EPUB=Y</v>
      </c>
      <c r="H963" s="8" t="s">
        <v>1795</v>
      </c>
    </row>
    <row r="964" spans="1:8" x14ac:dyDescent="0.3">
      <c r="A964" s="4" t="s">
        <v>1675</v>
      </c>
      <c r="B964" s="5">
        <v>44893</v>
      </c>
      <c r="C964" s="6" t="s">
        <v>628</v>
      </c>
      <c r="D964" s="6" t="s">
        <v>1740</v>
      </c>
      <c r="E964" s="6" t="s">
        <v>2503</v>
      </c>
      <c r="F964" s="6" t="s">
        <v>1208</v>
      </c>
      <c r="G964" s="7" t="str">
        <f>HYPERLINK("https://ovidsp.ovid.com/ovidweb.cgi?T=JS&amp;NEWS=n&amp;CSC=Y&amp;PAGE=booktext&amp;D=books&amp;SC=02250018&amp;EPUB=Y","https://ovidsp.ovid.com/ovidweb.cgi?T=JS&amp;NEWS=n&amp;CSC=Y&amp;PAGE=booktext&amp;D=books&amp;SC=02250018&amp;EPUB=Y")</f>
        <v>https://ovidsp.ovid.com/ovidweb.cgi?T=JS&amp;NEWS=n&amp;CSC=Y&amp;PAGE=booktext&amp;D=books&amp;SC=02250018&amp;EPUB=Y</v>
      </c>
      <c r="H964" s="8" t="s">
        <v>1795</v>
      </c>
    </row>
    <row r="965" spans="1:8" x14ac:dyDescent="0.3">
      <c r="A965" s="4" t="s">
        <v>533</v>
      </c>
      <c r="B965" s="5">
        <v>44893</v>
      </c>
      <c r="C965" s="6" t="s">
        <v>553</v>
      </c>
      <c r="D965" s="6" t="s">
        <v>1065</v>
      </c>
      <c r="E965" s="6" t="s">
        <v>2503</v>
      </c>
      <c r="F965" s="6" t="s">
        <v>1208</v>
      </c>
      <c r="G965" s="7" t="str">
        <f>HYPERLINK("https://ovidsp.ovid.com/ovidweb.cgi?T=JS&amp;NEWS=n&amp;CSC=Y&amp;PAGE=booktext&amp;D=books&amp;SC=02272961&amp;EPUB=Y","https://ovidsp.ovid.com/ovidweb.cgi?T=JS&amp;NEWS=n&amp;CSC=Y&amp;PAGE=booktext&amp;D=books&amp;SC=02272961&amp;EPUB=Y")</f>
        <v>https://ovidsp.ovid.com/ovidweb.cgi?T=JS&amp;NEWS=n&amp;CSC=Y&amp;PAGE=booktext&amp;D=books&amp;SC=02272961&amp;EPUB=Y</v>
      </c>
      <c r="H965" s="8" t="s">
        <v>1795</v>
      </c>
    </row>
    <row r="966" spans="1:8" x14ac:dyDescent="0.3">
      <c r="A966" s="4" t="s">
        <v>1738</v>
      </c>
      <c r="B966" s="5">
        <v>44893</v>
      </c>
      <c r="C966" s="6" t="s">
        <v>2367</v>
      </c>
      <c r="D966" s="6" t="s">
        <v>1643</v>
      </c>
      <c r="E966" s="6" t="s">
        <v>2503</v>
      </c>
      <c r="F966" s="6" t="s">
        <v>1208</v>
      </c>
      <c r="G966" s="7" t="str">
        <f>HYPERLINK("https://ovidsp.ovid.com/ovidweb.cgi?T=JS&amp;NEWS=n&amp;CSC=Y&amp;PAGE=booktext&amp;D=books&amp;SC=01434465&amp;EPUB=Y","https://ovidsp.ovid.com/ovidweb.cgi?T=JS&amp;NEWS=n&amp;CSC=Y&amp;PAGE=booktext&amp;D=books&amp;SC=01434465&amp;EPUB=Y")</f>
        <v>https://ovidsp.ovid.com/ovidweb.cgi?T=JS&amp;NEWS=n&amp;CSC=Y&amp;PAGE=booktext&amp;D=books&amp;SC=01434465&amp;EPUB=Y</v>
      </c>
      <c r="H966" s="8" t="s">
        <v>1795</v>
      </c>
    </row>
    <row r="967" spans="1:8" x14ac:dyDescent="0.3">
      <c r="A967" s="4" t="s">
        <v>252</v>
      </c>
      <c r="B967" s="5">
        <v>44893</v>
      </c>
      <c r="C967" s="6" t="s">
        <v>171</v>
      </c>
      <c r="D967" s="6" t="s">
        <v>1332</v>
      </c>
      <c r="E967" s="6" t="s">
        <v>2503</v>
      </c>
      <c r="F967" s="6" t="s">
        <v>1208</v>
      </c>
      <c r="G967" s="7" t="str">
        <f>HYPERLINK("https://ovidsp.ovid.com/ovidweb.cgi?T=JS&amp;NEWS=n&amp;CSC=Y&amp;PAGE=booktext&amp;D=books&amp;SC=02181737&amp;EPUB=Y","https://ovidsp.ovid.com/ovidweb.cgi?T=JS&amp;NEWS=n&amp;CSC=Y&amp;PAGE=booktext&amp;D=books&amp;SC=02181737&amp;EPUB=Y")</f>
        <v>https://ovidsp.ovid.com/ovidweb.cgi?T=JS&amp;NEWS=n&amp;CSC=Y&amp;PAGE=booktext&amp;D=books&amp;SC=02181737&amp;EPUB=Y</v>
      </c>
      <c r="H967" s="8" t="s">
        <v>1795</v>
      </c>
    </row>
    <row r="968" spans="1:8" x14ac:dyDescent="0.3">
      <c r="A968" s="4" t="s">
        <v>1744</v>
      </c>
      <c r="B968" s="5">
        <v>44893</v>
      </c>
      <c r="C968" s="6" t="s">
        <v>2367</v>
      </c>
      <c r="D968" s="6" t="s">
        <v>1643</v>
      </c>
      <c r="E968" s="6" t="s">
        <v>2503</v>
      </c>
      <c r="F968" s="6" t="s">
        <v>1208</v>
      </c>
      <c r="G968" s="7" t="str">
        <f>HYPERLINK("https://ovidsp.ovid.com/ovidweb.cgi?T=JS&amp;NEWS=n&amp;CSC=Y&amp;PAGE=booktext&amp;D=books&amp;SC=01434477&amp;EPUB=Y","https://ovidsp.ovid.com/ovidweb.cgi?T=JS&amp;NEWS=n&amp;CSC=Y&amp;PAGE=booktext&amp;D=books&amp;SC=01434477&amp;EPUB=Y")</f>
        <v>https://ovidsp.ovid.com/ovidweb.cgi?T=JS&amp;NEWS=n&amp;CSC=Y&amp;PAGE=booktext&amp;D=books&amp;SC=01434477&amp;EPUB=Y</v>
      </c>
      <c r="H968" s="8" t="s">
        <v>1795</v>
      </c>
    </row>
    <row r="969" spans="1:8" x14ac:dyDescent="0.3">
      <c r="A969" s="4" t="s">
        <v>911</v>
      </c>
      <c r="B969" s="5">
        <v>44893</v>
      </c>
      <c r="C969" s="6" t="s">
        <v>1664</v>
      </c>
      <c r="D969" s="6" t="s">
        <v>464</v>
      </c>
      <c r="E969" s="6" t="s">
        <v>2503</v>
      </c>
      <c r="F969" s="6" t="s">
        <v>1208</v>
      </c>
      <c r="G969" s="7" t="str">
        <f>HYPERLINK("https://ovidsp.ovid.com/ovidweb.cgi?T=JS&amp;NEWS=n&amp;CSC=Y&amp;PAGE=booktext&amp;D=books&amp;SC=01434825&amp;EPUB=Y","https://ovidsp.ovid.com/ovidweb.cgi?T=JS&amp;NEWS=n&amp;CSC=Y&amp;PAGE=booktext&amp;D=books&amp;SC=01434825&amp;EPUB=Y")</f>
        <v>https://ovidsp.ovid.com/ovidweb.cgi?T=JS&amp;NEWS=n&amp;CSC=Y&amp;PAGE=booktext&amp;D=books&amp;SC=01434825&amp;EPUB=Y</v>
      </c>
      <c r="H969" s="8" t="s">
        <v>1795</v>
      </c>
    </row>
    <row r="970" spans="1:8" x14ac:dyDescent="0.3">
      <c r="A970" s="4" t="s">
        <v>583</v>
      </c>
      <c r="B970" s="5">
        <v>44893</v>
      </c>
      <c r="C970" s="6" t="s">
        <v>2067</v>
      </c>
      <c r="D970" s="6" t="s">
        <v>40</v>
      </c>
      <c r="E970" s="6" t="s">
        <v>2503</v>
      </c>
      <c r="F970" s="6" t="s">
        <v>619</v>
      </c>
      <c r="G970" s="7" t="str">
        <f>HYPERLINK("https://ovidsp.ovid.com/ovidweb.cgi?T=JS&amp;NEWS=n&amp;CSC=Y&amp;PAGE=booktext&amp;D=books&amp;SC=01996152&amp;EPUB=Y","https://ovidsp.ovid.com/ovidweb.cgi?T=JS&amp;NEWS=n&amp;CSC=Y&amp;PAGE=booktext&amp;D=books&amp;SC=01996152&amp;EPUB=Y")</f>
        <v>https://ovidsp.ovid.com/ovidweb.cgi?T=JS&amp;NEWS=n&amp;CSC=Y&amp;PAGE=booktext&amp;D=books&amp;SC=01996152&amp;EPUB=Y</v>
      </c>
      <c r="H970" s="8" t="s">
        <v>1795</v>
      </c>
    </row>
    <row r="971" spans="1:8" x14ac:dyDescent="0.3">
      <c r="A971" s="4" t="s">
        <v>1356</v>
      </c>
      <c r="B971" s="5">
        <v>44893</v>
      </c>
      <c r="C971" s="6" t="s">
        <v>282</v>
      </c>
      <c r="D971" s="6" t="s">
        <v>987</v>
      </c>
      <c r="E971" s="6" t="s">
        <v>2503</v>
      </c>
      <c r="F971" s="6" t="s">
        <v>1208</v>
      </c>
      <c r="G971" s="7" t="str">
        <f>HYPERLINK("https://ovidsp.ovid.com/ovidweb.cgi?T=JS&amp;NEWS=n&amp;CSC=Y&amp;PAGE=booktext&amp;D=books&amp;SC=02273240&amp;EPUB=Y","https://ovidsp.ovid.com/ovidweb.cgi?T=JS&amp;NEWS=n&amp;CSC=Y&amp;PAGE=booktext&amp;D=books&amp;SC=02273240&amp;EPUB=Y")</f>
        <v>https://ovidsp.ovid.com/ovidweb.cgi?T=JS&amp;NEWS=n&amp;CSC=Y&amp;PAGE=booktext&amp;D=books&amp;SC=02273240&amp;EPUB=Y</v>
      </c>
      <c r="H971" s="8" t="s">
        <v>1795</v>
      </c>
    </row>
    <row r="972" spans="1:8" x14ac:dyDescent="0.3">
      <c r="A972" s="4" t="s">
        <v>2031</v>
      </c>
      <c r="B972" s="5">
        <v>44893</v>
      </c>
      <c r="C972" s="6" t="s">
        <v>1539</v>
      </c>
      <c r="D972" s="6" t="s">
        <v>849</v>
      </c>
      <c r="E972" s="6" t="s">
        <v>2503</v>
      </c>
      <c r="F972" s="6" t="s">
        <v>1208</v>
      </c>
      <c r="G972" s="7" t="str">
        <f>HYPERLINK("https://ovidsp.ovid.com/ovidweb.cgi?T=JS&amp;NEWS=n&amp;CSC=Y&amp;PAGE=booktext&amp;D=books&amp;SC=02272518&amp;EPUB=Y","https://ovidsp.ovid.com/ovidweb.cgi?T=JS&amp;NEWS=n&amp;CSC=Y&amp;PAGE=booktext&amp;D=books&amp;SC=02272518&amp;EPUB=Y")</f>
        <v>https://ovidsp.ovid.com/ovidweb.cgi?T=JS&amp;NEWS=n&amp;CSC=Y&amp;PAGE=booktext&amp;D=books&amp;SC=02272518&amp;EPUB=Y</v>
      </c>
      <c r="H972" s="8" t="s">
        <v>1795</v>
      </c>
    </row>
    <row r="973" spans="1:8" x14ac:dyDescent="0.3">
      <c r="A973" s="4" t="s">
        <v>3</v>
      </c>
      <c r="B973" s="5">
        <v>44893</v>
      </c>
      <c r="C973" s="6" t="s">
        <v>691</v>
      </c>
      <c r="D973" s="6" t="s">
        <v>899</v>
      </c>
      <c r="E973" s="6" t="s">
        <v>2503</v>
      </c>
      <c r="F973" s="6" t="s">
        <v>1208</v>
      </c>
      <c r="G973" s="7" t="str">
        <f>HYPERLINK("https://ovidsp.ovid.com/ovidweb.cgi?T=JS&amp;NEWS=n&amp;CSC=Y&amp;PAGE=booktext&amp;D=books&amp;SC=01434500&amp;EPUB=Y","https://ovidsp.ovid.com/ovidweb.cgi?T=JS&amp;NEWS=n&amp;CSC=Y&amp;PAGE=booktext&amp;D=books&amp;SC=01434500&amp;EPUB=Y")</f>
        <v>https://ovidsp.ovid.com/ovidweb.cgi?T=JS&amp;NEWS=n&amp;CSC=Y&amp;PAGE=booktext&amp;D=books&amp;SC=01434500&amp;EPUB=Y</v>
      </c>
      <c r="H973" s="8" t="s">
        <v>1795</v>
      </c>
    </row>
    <row r="974" spans="1:8" x14ac:dyDescent="0.3">
      <c r="A974" s="4" t="s">
        <v>2011</v>
      </c>
      <c r="B974" s="5">
        <v>44893</v>
      </c>
      <c r="C974" s="6" t="s">
        <v>720</v>
      </c>
      <c r="D974" s="6" t="s">
        <v>540</v>
      </c>
      <c r="E974" s="6" t="s">
        <v>2503</v>
      </c>
      <c r="F974" s="6" t="s">
        <v>1208</v>
      </c>
      <c r="G974" s="7" t="str">
        <f>HYPERLINK("https://ovidsp.ovid.com/ovidweb.cgi?T=JS&amp;NEWS=n&amp;CSC=Y&amp;PAGE=booktext&amp;D=books&amp;SC=02087403&amp;EPUB=Y","https://ovidsp.ovid.com/ovidweb.cgi?T=JS&amp;NEWS=n&amp;CSC=Y&amp;PAGE=booktext&amp;D=books&amp;SC=02087403&amp;EPUB=Y")</f>
        <v>https://ovidsp.ovid.com/ovidweb.cgi?T=JS&amp;NEWS=n&amp;CSC=Y&amp;PAGE=booktext&amp;D=books&amp;SC=02087403&amp;EPUB=Y</v>
      </c>
      <c r="H974" s="8" t="s">
        <v>1795</v>
      </c>
    </row>
    <row r="975" spans="1:8" x14ac:dyDescent="0.3">
      <c r="A975" s="4" t="s">
        <v>289</v>
      </c>
      <c r="B975" s="5">
        <v>44893</v>
      </c>
      <c r="C975" s="6" t="s">
        <v>1827</v>
      </c>
      <c r="D975" s="6" t="s">
        <v>450</v>
      </c>
      <c r="E975" s="6" t="s">
        <v>2503</v>
      </c>
      <c r="F975" s="6" t="s">
        <v>1208</v>
      </c>
      <c r="G975" s="7" t="str">
        <f>HYPERLINK("https://ovidsp.ovid.com/ovidweb.cgi?T=JS&amp;NEWS=n&amp;CSC=Y&amp;PAGE=booktext&amp;D=books&amp;SC=02158084&amp;EPUB=Y","https://ovidsp.ovid.com/ovidweb.cgi?T=JS&amp;NEWS=n&amp;CSC=Y&amp;PAGE=booktext&amp;D=books&amp;SC=02158084&amp;EPUB=Y")</f>
        <v>https://ovidsp.ovid.com/ovidweb.cgi?T=JS&amp;NEWS=n&amp;CSC=Y&amp;PAGE=booktext&amp;D=books&amp;SC=02158084&amp;EPUB=Y</v>
      </c>
      <c r="H975" s="8" t="s">
        <v>1795</v>
      </c>
    </row>
    <row r="976" spans="1:8" x14ac:dyDescent="0.3">
      <c r="A976" s="4" t="s">
        <v>1790</v>
      </c>
      <c r="B976" s="5">
        <v>44893</v>
      </c>
      <c r="C976" s="6" t="s">
        <v>1333</v>
      </c>
      <c r="D976" s="6" t="s">
        <v>1285</v>
      </c>
      <c r="E976" s="6" t="s">
        <v>2503</v>
      </c>
      <c r="F976" s="6" t="s">
        <v>1208</v>
      </c>
      <c r="G976" s="7" t="str">
        <f>HYPERLINK("https://ovidsp.ovid.com/ovidweb.cgi?T=JS&amp;NEWS=n&amp;CSC=Y&amp;PAGE=booktext&amp;D=books&amp;SC=01436996&amp;EPUB=Y","https://ovidsp.ovid.com/ovidweb.cgi?T=JS&amp;NEWS=n&amp;CSC=Y&amp;PAGE=booktext&amp;D=books&amp;SC=01436996&amp;EPUB=Y")</f>
        <v>https://ovidsp.ovid.com/ovidweb.cgi?T=JS&amp;NEWS=n&amp;CSC=Y&amp;PAGE=booktext&amp;D=books&amp;SC=01436996&amp;EPUB=Y</v>
      </c>
      <c r="H976" s="8" t="s">
        <v>1795</v>
      </c>
    </row>
    <row r="977" spans="1:8" x14ac:dyDescent="0.3">
      <c r="A977" s="4" t="s">
        <v>1604</v>
      </c>
      <c r="B977" s="5">
        <v>44893</v>
      </c>
      <c r="C977" s="6" t="s">
        <v>530</v>
      </c>
      <c r="D977" s="6" t="s">
        <v>998</v>
      </c>
      <c r="E977" s="6" t="s">
        <v>2503</v>
      </c>
      <c r="F977" s="6" t="s">
        <v>241</v>
      </c>
      <c r="G977" s="7" t="str">
        <f>HYPERLINK("https://ovidsp.ovid.com/ovidweb.cgi?T=JS&amp;NEWS=n&amp;CSC=Y&amp;PAGE=booktext&amp;D=books&amp;SC=01434638&amp;EPUB=Y","https://ovidsp.ovid.com/ovidweb.cgi?T=JS&amp;NEWS=n&amp;CSC=Y&amp;PAGE=booktext&amp;D=books&amp;SC=01434638&amp;EPUB=Y")</f>
        <v>https://ovidsp.ovid.com/ovidweb.cgi?T=JS&amp;NEWS=n&amp;CSC=Y&amp;PAGE=booktext&amp;D=books&amp;SC=01434638&amp;EPUB=Y</v>
      </c>
      <c r="H977" s="8" t="s">
        <v>1795</v>
      </c>
    </row>
    <row r="978" spans="1:8" x14ac:dyDescent="0.3">
      <c r="A978" s="4" t="s">
        <v>732</v>
      </c>
      <c r="B978" s="5">
        <v>44893</v>
      </c>
      <c r="C978" s="6" t="s">
        <v>1</v>
      </c>
      <c r="D978" s="6" t="s">
        <v>2128</v>
      </c>
      <c r="E978" s="6" t="s">
        <v>2503</v>
      </c>
      <c r="F978" s="6" t="s">
        <v>1208</v>
      </c>
      <c r="G978" s="7" t="str">
        <f>HYPERLINK("https://ovidsp.ovid.com/ovidweb.cgi?T=JS&amp;NEWS=n&amp;CSC=Y&amp;PAGE=booktext&amp;D=books&amp;SC=02227865&amp;EPUB=Y","https://ovidsp.ovid.com/ovidweb.cgi?T=JS&amp;NEWS=n&amp;CSC=Y&amp;PAGE=booktext&amp;D=books&amp;SC=02227865&amp;EPUB=Y")</f>
        <v>https://ovidsp.ovid.com/ovidweb.cgi?T=JS&amp;NEWS=n&amp;CSC=Y&amp;PAGE=booktext&amp;D=books&amp;SC=02227865&amp;EPUB=Y</v>
      </c>
      <c r="H978" s="8" t="s">
        <v>1795</v>
      </c>
    </row>
    <row r="979" spans="1:8" x14ac:dyDescent="0.3">
      <c r="A979" s="4" t="s">
        <v>2411</v>
      </c>
      <c r="B979" s="5">
        <v>44893</v>
      </c>
      <c r="C979" s="6" t="s">
        <v>2367</v>
      </c>
      <c r="D979" s="6" t="s">
        <v>1643</v>
      </c>
      <c r="E979" s="6" t="s">
        <v>2503</v>
      </c>
      <c r="F979" s="6" t="s">
        <v>1208</v>
      </c>
      <c r="G979" s="7" t="str">
        <f>HYPERLINK("https://ovidsp.ovid.com/ovidweb.cgi?T=JS&amp;NEWS=n&amp;CSC=Y&amp;PAGE=booktext&amp;D=books&amp;SC=01434329&amp;EPUB=Y","https://ovidsp.ovid.com/ovidweb.cgi?T=JS&amp;NEWS=n&amp;CSC=Y&amp;PAGE=booktext&amp;D=books&amp;SC=01434329&amp;EPUB=Y")</f>
        <v>https://ovidsp.ovid.com/ovidweb.cgi?T=JS&amp;NEWS=n&amp;CSC=Y&amp;PAGE=booktext&amp;D=books&amp;SC=01434329&amp;EPUB=Y</v>
      </c>
      <c r="H979" s="8" t="s">
        <v>1795</v>
      </c>
    </row>
    <row r="980" spans="1:8" x14ac:dyDescent="0.3">
      <c r="A980" s="4" t="s">
        <v>2217</v>
      </c>
      <c r="B980" s="5">
        <v>44893</v>
      </c>
      <c r="C980" s="6" t="s">
        <v>1458</v>
      </c>
      <c r="D980" s="6" t="s">
        <v>922</v>
      </c>
      <c r="E980" s="6" t="s">
        <v>2503</v>
      </c>
      <c r="F980" s="6" t="s">
        <v>1208</v>
      </c>
      <c r="G980" s="7" t="str">
        <f>HYPERLINK("https://ovidsp.ovid.com/ovidweb.cgi?T=JS&amp;NEWS=n&amp;CSC=Y&amp;PAGE=booktext&amp;D=books&amp;SC=01990616&amp;EPUB=Y","https://ovidsp.ovid.com/ovidweb.cgi?T=JS&amp;NEWS=n&amp;CSC=Y&amp;PAGE=booktext&amp;D=books&amp;SC=01990616&amp;EPUB=Y")</f>
        <v>https://ovidsp.ovid.com/ovidweb.cgi?T=JS&amp;NEWS=n&amp;CSC=Y&amp;PAGE=booktext&amp;D=books&amp;SC=01990616&amp;EPUB=Y</v>
      </c>
      <c r="H980" s="8" t="s">
        <v>1795</v>
      </c>
    </row>
    <row r="981" spans="1:8" x14ac:dyDescent="0.3">
      <c r="A981" s="4" t="s">
        <v>2330</v>
      </c>
      <c r="B981" s="5">
        <v>44893</v>
      </c>
      <c r="C981" s="6" t="s">
        <v>816</v>
      </c>
      <c r="D981" s="6" t="s">
        <v>675</v>
      </c>
      <c r="E981" s="6" t="s">
        <v>2503</v>
      </c>
      <c r="F981" s="6" t="s">
        <v>1208</v>
      </c>
      <c r="G981" s="7" t="str">
        <f>HYPERLINK("https://ovidsp.ovid.com/ovidweb.cgi?T=JS&amp;NEWS=n&amp;CSC=Y&amp;PAGE=booktext&amp;D=books&amp;SC=01518813&amp;EPUB=Y","https://ovidsp.ovid.com/ovidweb.cgi?T=JS&amp;NEWS=n&amp;CSC=Y&amp;PAGE=booktext&amp;D=books&amp;SC=01518813&amp;EPUB=Y")</f>
        <v>https://ovidsp.ovid.com/ovidweb.cgi?T=JS&amp;NEWS=n&amp;CSC=Y&amp;PAGE=booktext&amp;D=books&amp;SC=01518813&amp;EPUB=Y</v>
      </c>
      <c r="H981" s="8" t="s">
        <v>1795</v>
      </c>
    </row>
    <row r="982" spans="1:8" x14ac:dyDescent="0.3">
      <c r="A982" s="4" t="s">
        <v>1886</v>
      </c>
      <c r="B982" s="5">
        <v>44893</v>
      </c>
      <c r="C982" s="6" t="s">
        <v>1197</v>
      </c>
      <c r="D982" s="6" t="s">
        <v>891</v>
      </c>
      <c r="E982" s="6" t="s">
        <v>2503</v>
      </c>
      <c r="F982" s="6" t="s">
        <v>1208</v>
      </c>
      <c r="G982" s="7" t="str">
        <f>HYPERLINK("https://ovidsp.ovid.com/ovidweb.cgi?T=JS&amp;NEWS=n&amp;CSC=Y&amp;PAGE=booktext&amp;D=books&amp;SC=02227868&amp;EPUB=Y","https://ovidsp.ovid.com/ovidweb.cgi?T=JS&amp;NEWS=n&amp;CSC=Y&amp;PAGE=booktext&amp;D=books&amp;SC=02227868&amp;EPUB=Y")</f>
        <v>https://ovidsp.ovid.com/ovidweb.cgi?T=JS&amp;NEWS=n&amp;CSC=Y&amp;PAGE=booktext&amp;D=books&amp;SC=02227868&amp;EPUB=Y</v>
      </c>
      <c r="H982" s="8" t="s">
        <v>1795</v>
      </c>
    </row>
    <row r="983" spans="1:8" x14ac:dyDescent="0.3">
      <c r="A983" s="4" t="s">
        <v>1159</v>
      </c>
      <c r="B983" s="5">
        <v>44893</v>
      </c>
      <c r="C983" s="6" t="s">
        <v>639</v>
      </c>
      <c r="D983" s="6" t="s">
        <v>1771</v>
      </c>
      <c r="E983" s="6" t="s">
        <v>2503</v>
      </c>
      <c r="F983" s="6" t="s">
        <v>1208</v>
      </c>
      <c r="G983" s="7" t="str">
        <f>HYPERLINK("https://ovidsp.ovid.com/ovidweb.cgi?T=JS&amp;NEWS=n&amp;CSC=Y&amp;PAGE=booktext&amp;D=books&amp;SC=01434540&amp;EPUB=Y","https://ovidsp.ovid.com/ovidweb.cgi?T=JS&amp;NEWS=n&amp;CSC=Y&amp;PAGE=booktext&amp;D=books&amp;SC=01434540&amp;EPUB=Y")</f>
        <v>https://ovidsp.ovid.com/ovidweb.cgi?T=JS&amp;NEWS=n&amp;CSC=Y&amp;PAGE=booktext&amp;D=books&amp;SC=01434540&amp;EPUB=Y</v>
      </c>
      <c r="H983" s="8" t="s">
        <v>1795</v>
      </c>
    </row>
    <row r="984" spans="1:8" x14ac:dyDescent="0.3">
      <c r="A984" s="4" t="s">
        <v>536</v>
      </c>
      <c r="B984" s="5">
        <v>44893</v>
      </c>
      <c r="C984" s="6" t="s">
        <v>2367</v>
      </c>
      <c r="D984" s="6" t="s">
        <v>1643</v>
      </c>
      <c r="E984" s="6" t="s">
        <v>2503</v>
      </c>
      <c r="F984" s="6" t="s">
        <v>1208</v>
      </c>
      <c r="G984" s="7" t="str">
        <f>HYPERLINK("https://ovidsp.ovid.com/ovidweb.cgi?T=JS&amp;NEWS=n&amp;CSC=Y&amp;PAGE=booktext&amp;D=books&amp;SC=01434325&amp;EPUB=Y","https://ovidsp.ovid.com/ovidweb.cgi?T=JS&amp;NEWS=n&amp;CSC=Y&amp;PAGE=booktext&amp;D=books&amp;SC=01434325&amp;EPUB=Y")</f>
        <v>https://ovidsp.ovid.com/ovidweb.cgi?T=JS&amp;NEWS=n&amp;CSC=Y&amp;PAGE=booktext&amp;D=books&amp;SC=01434325&amp;EPUB=Y</v>
      </c>
      <c r="H984" s="8" t="s">
        <v>1795</v>
      </c>
    </row>
    <row r="985" spans="1:8" x14ac:dyDescent="0.3">
      <c r="A985" s="4" t="s">
        <v>493</v>
      </c>
      <c r="B985" s="5">
        <v>44893</v>
      </c>
      <c r="C985" s="6" t="s">
        <v>1514</v>
      </c>
      <c r="D985" s="6" t="s">
        <v>2558</v>
      </c>
      <c r="E985" s="6" t="s">
        <v>2503</v>
      </c>
      <c r="F985" s="6" t="s">
        <v>1208</v>
      </c>
      <c r="G985" s="7" t="str">
        <f>HYPERLINK("https://ovidsp.ovid.com/ovidweb.cgi?T=JS&amp;NEWS=n&amp;CSC=Y&amp;PAGE=booktext&amp;D=books&amp;SC=02181739&amp;EPUB=Y","https://ovidsp.ovid.com/ovidweb.cgi?T=JS&amp;NEWS=n&amp;CSC=Y&amp;PAGE=booktext&amp;D=books&amp;SC=02181739&amp;EPUB=Y")</f>
        <v>https://ovidsp.ovid.com/ovidweb.cgi?T=JS&amp;NEWS=n&amp;CSC=Y&amp;PAGE=booktext&amp;D=books&amp;SC=02181739&amp;EPUB=Y</v>
      </c>
      <c r="H985" s="8" t="s">
        <v>1795</v>
      </c>
    </row>
    <row r="986" spans="1:8" x14ac:dyDescent="0.3">
      <c r="A986" s="4" t="s">
        <v>1690</v>
      </c>
      <c r="B986" s="5">
        <v>44893</v>
      </c>
      <c r="C986" s="6" t="s">
        <v>1991</v>
      </c>
      <c r="D986" s="6" t="s">
        <v>1848</v>
      </c>
      <c r="E986" s="6" t="s">
        <v>2503</v>
      </c>
      <c r="F986" s="6" t="s">
        <v>1208</v>
      </c>
      <c r="G986" s="7" t="str">
        <f>HYPERLINK("https://ovidsp.ovid.com/ovidweb.cgi?T=JS&amp;NEWS=n&amp;CSC=Y&amp;PAGE=booktext&amp;D=books&amp;SC=01884419&amp;EPUB=Y","https://ovidsp.ovid.com/ovidweb.cgi?T=JS&amp;NEWS=n&amp;CSC=Y&amp;PAGE=booktext&amp;D=books&amp;SC=01884419&amp;EPUB=Y")</f>
        <v>https://ovidsp.ovid.com/ovidweb.cgi?T=JS&amp;NEWS=n&amp;CSC=Y&amp;PAGE=booktext&amp;D=books&amp;SC=01884419&amp;EPUB=Y</v>
      </c>
      <c r="H986" s="8" t="s">
        <v>1795</v>
      </c>
    </row>
    <row r="987" spans="1:8" x14ac:dyDescent="0.3">
      <c r="A987" s="4" t="s">
        <v>1690</v>
      </c>
      <c r="B987" s="5">
        <v>44893</v>
      </c>
      <c r="C987" s="6" t="s">
        <v>2552</v>
      </c>
      <c r="D987" s="6" t="s">
        <v>1772</v>
      </c>
      <c r="E987" s="6" t="s">
        <v>2503</v>
      </c>
      <c r="F987" s="6" t="s">
        <v>1208</v>
      </c>
      <c r="G987" s="7" t="str">
        <f>HYPERLINK("https://ovidsp.ovid.com/ovidweb.cgi?T=JS&amp;NEWS=n&amp;CSC=Y&amp;PAGE=booktext&amp;D=books&amp;SC=01817244&amp;EPUB=Y","https://ovidsp.ovid.com/ovidweb.cgi?T=JS&amp;NEWS=n&amp;CSC=Y&amp;PAGE=booktext&amp;D=books&amp;SC=01817244&amp;EPUB=Y")</f>
        <v>https://ovidsp.ovid.com/ovidweb.cgi?T=JS&amp;NEWS=n&amp;CSC=Y&amp;PAGE=booktext&amp;D=books&amp;SC=01817244&amp;EPUB=Y</v>
      </c>
      <c r="H987" s="8" t="s">
        <v>1795</v>
      </c>
    </row>
    <row r="988" spans="1:8" x14ac:dyDescent="0.3">
      <c r="A988" s="4" t="s">
        <v>2264</v>
      </c>
      <c r="B988" s="5">
        <v>44893</v>
      </c>
      <c r="C988" s="6" t="s">
        <v>674</v>
      </c>
      <c r="D988" s="6" t="s">
        <v>26</v>
      </c>
      <c r="E988" s="6" t="s">
        <v>2503</v>
      </c>
      <c r="F988" s="6" t="s">
        <v>1208</v>
      </c>
      <c r="G988" s="7" t="str">
        <f>HYPERLINK("https://ovidsp.ovid.com/ovidweb.cgi?T=JS&amp;NEWS=n&amp;CSC=Y&amp;PAGE=booktext&amp;D=books&amp;SC=01938896&amp;EPUB=Y","https://ovidsp.ovid.com/ovidweb.cgi?T=JS&amp;NEWS=n&amp;CSC=Y&amp;PAGE=booktext&amp;D=books&amp;SC=01938896&amp;EPUB=Y")</f>
        <v>https://ovidsp.ovid.com/ovidweb.cgi?T=JS&amp;NEWS=n&amp;CSC=Y&amp;PAGE=booktext&amp;D=books&amp;SC=01938896&amp;EPUB=Y</v>
      </c>
      <c r="H988" s="8" t="s">
        <v>1795</v>
      </c>
    </row>
    <row r="989" spans="1:8" x14ac:dyDescent="0.3">
      <c r="A989" s="4" t="s">
        <v>1411</v>
      </c>
      <c r="B989" s="5">
        <v>44893</v>
      </c>
      <c r="C989" s="6" t="s">
        <v>1214</v>
      </c>
      <c r="D989" s="6" t="s">
        <v>1016</v>
      </c>
      <c r="E989" s="6" t="s">
        <v>2503</v>
      </c>
      <c r="F989" s="6" t="s">
        <v>1208</v>
      </c>
      <c r="G989" s="7" t="str">
        <f>HYPERLINK("https://ovidsp.ovid.com/ovidweb.cgi?T=JS&amp;NEWS=n&amp;CSC=Y&amp;PAGE=booktext&amp;D=books&amp;SC=02272714&amp;EPUB=Y","https://ovidsp.ovid.com/ovidweb.cgi?T=JS&amp;NEWS=n&amp;CSC=Y&amp;PAGE=booktext&amp;D=books&amp;SC=02272714&amp;EPUB=Y")</f>
        <v>https://ovidsp.ovid.com/ovidweb.cgi?T=JS&amp;NEWS=n&amp;CSC=Y&amp;PAGE=booktext&amp;D=books&amp;SC=02272714&amp;EPUB=Y</v>
      </c>
      <c r="H989" s="8" t="s">
        <v>1795</v>
      </c>
    </row>
    <row r="990" spans="1:8" x14ac:dyDescent="0.3">
      <c r="A990" s="4" t="s">
        <v>1260</v>
      </c>
      <c r="B990" s="5">
        <v>44893</v>
      </c>
      <c r="C990" s="6" t="s">
        <v>936</v>
      </c>
      <c r="D990" s="6" t="s">
        <v>1279</v>
      </c>
      <c r="E990" s="6" t="s">
        <v>2503</v>
      </c>
      <c r="F990" s="6" t="s">
        <v>1208</v>
      </c>
      <c r="G990" s="7" t="str">
        <f>HYPERLINK("https://ovidsp.ovid.com/ovidweb.cgi?T=JS&amp;NEWS=n&amp;CSC=Y&amp;PAGE=booktext&amp;D=books&amp;SC=01434560&amp;EPUB=Y","https://ovidsp.ovid.com/ovidweb.cgi?T=JS&amp;NEWS=n&amp;CSC=Y&amp;PAGE=booktext&amp;D=books&amp;SC=01434560&amp;EPUB=Y")</f>
        <v>https://ovidsp.ovid.com/ovidweb.cgi?T=JS&amp;NEWS=n&amp;CSC=Y&amp;PAGE=booktext&amp;D=books&amp;SC=01434560&amp;EPUB=Y</v>
      </c>
      <c r="H990" s="8" t="s">
        <v>1795</v>
      </c>
    </row>
    <row r="991" spans="1:8" x14ac:dyDescent="0.3">
      <c r="A991" s="4" t="s">
        <v>102</v>
      </c>
      <c r="B991" s="5">
        <v>44893</v>
      </c>
      <c r="C991" s="6" t="s">
        <v>1640</v>
      </c>
      <c r="D991" s="6" t="s">
        <v>2538</v>
      </c>
      <c r="E991" s="6" t="s">
        <v>2503</v>
      </c>
      <c r="F991" s="6" t="s">
        <v>1208</v>
      </c>
      <c r="G991" s="7" t="str">
        <f>HYPERLINK("https://ovidsp.ovid.com/ovidweb.cgi?T=JS&amp;NEWS=n&amp;CSC=Y&amp;PAGE=booktext&amp;D=books&amp;SC=01845096&amp;EPUB=Y","https://ovidsp.ovid.com/ovidweb.cgi?T=JS&amp;NEWS=n&amp;CSC=Y&amp;PAGE=booktext&amp;D=books&amp;SC=01845096&amp;EPUB=Y")</f>
        <v>https://ovidsp.ovid.com/ovidweb.cgi?T=JS&amp;NEWS=n&amp;CSC=Y&amp;PAGE=booktext&amp;D=books&amp;SC=01845096&amp;EPUB=Y</v>
      </c>
      <c r="H991" s="8" t="s">
        <v>1795</v>
      </c>
    </row>
    <row r="992" spans="1:8" x14ac:dyDescent="0.3">
      <c r="A992" s="4" t="s">
        <v>1954</v>
      </c>
      <c r="B992" s="5">
        <v>44893</v>
      </c>
      <c r="C992" s="6" t="s">
        <v>2146</v>
      </c>
      <c r="D992" s="6" t="s">
        <v>2549</v>
      </c>
      <c r="E992" s="6" t="s">
        <v>2503</v>
      </c>
      <c r="F992" s="6" t="s">
        <v>1208</v>
      </c>
      <c r="G992" s="7" t="str">
        <f>HYPERLINK("https://ovidsp.ovid.com/ovidweb.cgi?T=JS&amp;NEWS=n&amp;CSC=Y&amp;PAGE=booktext&amp;D=books&amp;SC=01845207&amp;EPUB=Y","https://ovidsp.ovid.com/ovidweb.cgi?T=JS&amp;NEWS=n&amp;CSC=Y&amp;PAGE=booktext&amp;D=books&amp;SC=01845207&amp;EPUB=Y")</f>
        <v>https://ovidsp.ovid.com/ovidweb.cgi?T=JS&amp;NEWS=n&amp;CSC=Y&amp;PAGE=booktext&amp;D=books&amp;SC=01845207&amp;EPUB=Y</v>
      </c>
      <c r="H992" s="8" t="s">
        <v>1795</v>
      </c>
    </row>
    <row r="993" spans="1:8" x14ac:dyDescent="0.3">
      <c r="A993" s="4" t="s">
        <v>1718</v>
      </c>
      <c r="B993" s="5">
        <v>44893</v>
      </c>
      <c r="C993" s="6" t="s">
        <v>952</v>
      </c>
      <c r="D993" s="6" t="s">
        <v>1840</v>
      </c>
      <c r="E993" s="6" t="s">
        <v>2503</v>
      </c>
      <c r="F993" s="6" t="s">
        <v>1208</v>
      </c>
      <c r="G993" s="7" t="str">
        <f>HYPERLINK("https://ovidsp.ovid.com/ovidweb.cgi?T=JS&amp;NEWS=n&amp;CSC=Y&amp;PAGE=booktext&amp;D=books&amp;SC=01884387&amp;EPUB=Y","https://ovidsp.ovid.com/ovidweb.cgi?T=JS&amp;NEWS=n&amp;CSC=Y&amp;PAGE=booktext&amp;D=books&amp;SC=01884387&amp;EPUB=Y")</f>
        <v>https://ovidsp.ovid.com/ovidweb.cgi?T=JS&amp;NEWS=n&amp;CSC=Y&amp;PAGE=booktext&amp;D=books&amp;SC=01884387&amp;EPUB=Y</v>
      </c>
      <c r="H993" s="8" t="s">
        <v>1795</v>
      </c>
    </row>
    <row r="994" spans="1:8" x14ac:dyDescent="0.3">
      <c r="A994" s="4" t="s">
        <v>475</v>
      </c>
      <c r="B994" s="5">
        <v>44893</v>
      </c>
      <c r="C994" s="6" t="s">
        <v>2517</v>
      </c>
      <c r="D994" s="6" t="s">
        <v>1242</v>
      </c>
      <c r="E994" s="6" t="s">
        <v>2503</v>
      </c>
      <c r="F994" s="6" t="s">
        <v>241</v>
      </c>
      <c r="G994" s="7" t="str">
        <f>HYPERLINK("https://ovidsp.ovid.com/ovidweb.cgi?T=JS&amp;NEWS=n&amp;CSC=Y&amp;PAGE=booktext&amp;D=books&amp;SC=01929400&amp;EPUB=Y","https://ovidsp.ovid.com/ovidweb.cgi?T=JS&amp;NEWS=n&amp;CSC=Y&amp;PAGE=booktext&amp;D=books&amp;SC=01929400&amp;EPUB=Y")</f>
        <v>https://ovidsp.ovid.com/ovidweb.cgi?T=JS&amp;NEWS=n&amp;CSC=Y&amp;PAGE=booktext&amp;D=books&amp;SC=01929400&amp;EPUB=Y</v>
      </c>
      <c r="H994" s="8" t="s">
        <v>1795</v>
      </c>
    </row>
    <row r="995" spans="1:8" x14ac:dyDescent="0.3">
      <c r="A995" s="4" t="s">
        <v>844</v>
      </c>
      <c r="B995" s="5">
        <v>44893</v>
      </c>
      <c r="C995" s="6" t="s">
        <v>2367</v>
      </c>
      <c r="D995" s="6" t="s">
        <v>1643</v>
      </c>
      <c r="E995" s="6" t="s">
        <v>2503</v>
      </c>
      <c r="F995" s="6" t="s">
        <v>1208</v>
      </c>
      <c r="G995" s="7" t="str">
        <f>HYPERLINK("https://ovidsp.ovid.com/ovidweb.cgi?T=JS&amp;NEWS=n&amp;CSC=Y&amp;PAGE=booktext&amp;D=books&amp;SC=01434283&amp;EPUB=Y","https://ovidsp.ovid.com/ovidweb.cgi?T=JS&amp;NEWS=n&amp;CSC=Y&amp;PAGE=booktext&amp;D=books&amp;SC=01434283&amp;EPUB=Y")</f>
        <v>https://ovidsp.ovid.com/ovidweb.cgi?T=JS&amp;NEWS=n&amp;CSC=Y&amp;PAGE=booktext&amp;D=books&amp;SC=01434283&amp;EPUB=Y</v>
      </c>
      <c r="H995" s="8" t="s">
        <v>1795</v>
      </c>
    </row>
    <row r="996" spans="1:8" x14ac:dyDescent="0.3">
      <c r="A996" s="4" t="s">
        <v>1294</v>
      </c>
      <c r="B996" s="5">
        <v>44893</v>
      </c>
      <c r="C996" s="6" t="s">
        <v>2367</v>
      </c>
      <c r="D996" s="6" t="s">
        <v>1643</v>
      </c>
      <c r="E996" s="6" t="s">
        <v>2503</v>
      </c>
      <c r="F996" s="6" t="s">
        <v>1208</v>
      </c>
      <c r="G996" s="7" t="str">
        <f>HYPERLINK("https://ovidsp.ovid.com/ovidweb.cgi?T=JS&amp;NEWS=n&amp;CSC=Y&amp;PAGE=booktext&amp;D=books&amp;SC=01434365&amp;EPUB=Y","https://ovidsp.ovid.com/ovidweb.cgi?T=JS&amp;NEWS=n&amp;CSC=Y&amp;PAGE=booktext&amp;D=books&amp;SC=01434365&amp;EPUB=Y")</f>
        <v>https://ovidsp.ovid.com/ovidweb.cgi?T=JS&amp;NEWS=n&amp;CSC=Y&amp;PAGE=booktext&amp;D=books&amp;SC=01434365&amp;EPUB=Y</v>
      </c>
      <c r="H996" s="8" t="s">
        <v>1795</v>
      </c>
    </row>
    <row r="997" spans="1:8" x14ac:dyDescent="0.3">
      <c r="A997" s="4" t="s">
        <v>361</v>
      </c>
      <c r="B997" s="5">
        <v>44893</v>
      </c>
      <c r="C997" s="6" t="s">
        <v>2367</v>
      </c>
      <c r="D997" s="6" t="s">
        <v>1643</v>
      </c>
      <c r="E997" s="6" t="s">
        <v>2503</v>
      </c>
      <c r="F997" s="6" t="s">
        <v>1208</v>
      </c>
      <c r="G997" s="7" t="str">
        <f>HYPERLINK("https://ovidsp.ovid.com/ovidweb.cgi?T=JS&amp;NEWS=n&amp;CSC=Y&amp;PAGE=booktext&amp;D=books&amp;SC=01437921&amp;EPUB=Y","https://ovidsp.ovid.com/ovidweb.cgi?T=JS&amp;NEWS=n&amp;CSC=Y&amp;PAGE=booktext&amp;D=books&amp;SC=01437921&amp;EPUB=Y")</f>
        <v>https://ovidsp.ovid.com/ovidweb.cgi?T=JS&amp;NEWS=n&amp;CSC=Y&amp;PAGE=booktext&amp;D=books&amp;SC=01437921&amp;EPUB=Y</v>
      </c>
      <c r="H997" s="8" t="s">
        <v>1795</v>
      </c>
    </row>
    <row r="998" spans="1:8" x14ac:dyDescent="0.3">
      <c r="A998" s="4" t="s">
        <v>1866</v>
      </c>
      <c r="B998" s="5">
        <v>44893</v>
      </c>
      <c r="C998" s="6" t="s">
        <v>1494</v>
      </c>
      <c r="D998" s="6" t="s">
        <v>1914</v>
      </c>
      <c r="E998" s="6" t="s">
        <v>2503</v>
      </c>
      <c r="F998" s="6" t="s">
        <v>1208</v>
      </c>
      <c r="G998" s="7" t="str">
        <f>HYPERLINK("https://ovidsp.ovid.com/ovidweb.cgi?T=JS&amp;NEWS=n&amp;CSC=Y&amp;PAGE=booktext&amp;D=books&amp;SC=02233686&amp;EPUB=Y","https://ovidsp.ovid.com/ovidweb.cgi?T=JS&amp;NEWS=n&amp;CSC=Y&amp;PAGE=booktext&amp;D=books&amp;SC=02233686&amp;EPUB=Y")</f>
        <v>https://ovidsp.ovid.com/ovidweb.cgi?T=JS&amp;NEWS=n&amp;CSC=Y&amp;PAGE=booktext&amp;D=books&amp;SC=02233686&amp;EPUB=Y</v>
      </c>
      <c r="H998" s="8" t="s">
        <v>1795</v>
      </c>
    </row>
    <row r="999" spans="1:8" x14ac:dyDescent="0.3">
      <c r="A999" s="4" t="s">
        <v>2368</v>
      </c>
      <c r="B999" s="5">
        <v>44893</v>
      </c>
      <c r="C999" s="6" t="s">
        <v>1850</v>
      </c>
      <c r="D999" s="6" t="s">
        <v>1390</v>
      </c>
      <c r="E999" s="6" t="s">
        <v>2503</v>
      </c>
      <c r="F999" s="6" t="s">
        <v>1208</v>
      </c>
      <c r="G999" s="7" t="str">
        <f>HYPERLINK("https://ovidsp.ovid.com/ovidweb.cgi?T=JS&amp;NEWS=n&amp;CSC=Y&amp;PAGE=booktext&amp;D=books&amp;SC=02163063&amp;EPUB=Y","https://ovidsp.ovid.com/ovidweb.cgi?T=JS&amp;NEWS=n&amp;CSC=Y&amp;PAGE=booktext&amp;D=books&amp;SC=02163063&amp;EPUB=Y")</f>
        <v>https://ovidsp.ovid.com/ovidweb.cgi?T=JS&amp;NEWS=n&amp;CSC=Y&amp;PAGE=booktext&amp;D=books&amp;SC=02163063&amp;EPUB=Y</v>
      </c>
      <c r="H999" s="8" t="s">
        <v>1795</v>
      </c>
    </row>
    <row r="1000" spans="1:8" x14ac:dyDescent="0.3">
      <c r="A1000" s="4" t="s">
        <v>2368</v>
      </c>
      <c r="B1000" s="5">
        <v>44893</v>
      </c>
      <c r="C1000" s="6" t="s">
        <v>447</v>
      </c>
      <c r="D1000" s="6" t="s">
        <v>1245</v>
      </c>
      <c r="E1000" s="6" t="s">
        <v>2503</v>
      </c>
      <c r="F1000" s="6" t="s">
        <v>1208</v>
      </c>
      <c r="G1000" s="7" t="str">
        <f>HYPERLINK("https://ovidsp.ovid.com/ovidweb.cgi?T=JS&amp;NEWS=n&amp;CSC=Y&amp;PAGE=booktext&amp;D=books&amp;SC=01781598&amp;EPUB=Y","https://ovidsp.ovid.com/ovidweb.cgi?T=JS&amp;NEWS=n&amp;CSC=Y&amp;PAGE=booktext&amp;D=books&amp;SC=01781598&amp;EPUB=Y")</f>
        <v>https://ovidsp.ovid.com/ovidweb.cgi?T=JS&amp;NEWS=n&amp;CSC=Y&amp;PAGE=booktext&amp;D=books&amp;SC=01781598&amp;EPUB=Y</v>
      </c>
      <c r="H1000" s="8" t="s">
        <v>1795</v>
      </c>
    </row>
    <row r="1001" spans="1:8" x14ac:dyDescent="0.3">
      <c r="A1001" s="4" t="s">
        <v>1722</v>
      </c>
      <c r="B1001" s="5">
        <v>44893</v>
      </c>
      <c r="C1001" s="6" t="s">
        <v>2442</v>
      </c>
      <c r="D1001" s="6" t="s">
        <v>785</v>
      </c>
      <c r="E1001" s="6" t="s">
        <v>2503</v>
      </c>
      <c r="F1001" s="6" t="s">
        <v>1208</v>
      </c>
      <c r="G1001" s="7" t="str">
        <f>HYPERLINK("https://ovidsp.ovid.com/ovidweb.cgi?T=JS&amp;NEWS=n&amp;CSC=Y&amp;PAGE=booktext&amp;D=books&amp;SC=01437476&amp;EPUB=Y","https://ovidsp.ovid.com/ovidweb.cgi?T=JS&amp;NEWS=n&amp;CSC=Y&amp;PAGE=booktext&amp;D=books&amp;SC=01437476&amp;EPUB=Y")</f>
        <v>https://ovidsp.ovid.com/ovidweb.cgi?T=JS&amp;NEWS=n&amp;CSC=Y&amp;PAGE=booktext&amp;D=books&amp;SC=01437476&amp;EPUB=Y</v>
      </c>
      <c r="H1001" s="8" t="s">
        <v>1795</v>
      </c>
    </row>
    <row r="1002" spans="1:8" x14ac:dyDescent="0.3">
      <c r="A1002" s="4" t="s">
        <v>106</v>
      </c>
      <c r="B1002" s="5">
        <v>44893</v>
      </c>
      <c r="C1002" s="6" t="s">
        <v>1661</v>
      </c>
      <c r="D1002" s="6" t="s">
        <v>2354</v>
      </c>
      <c r="E1002" s="6" t="s">
        <v>2503</v>
      </c>
      <c r="F1002" s="6" t="s">
        <v>1208</v>
      </c>
      <c r="G1002" s="7" t="str">
        <f>HYPERLINK("https://ovidsp.ovid.com/ovidweb.cgi?T=JS&amp;NEWS=n&amp;CSC=Y&amp;PAGE=booktext&amp;D=books&amp;SC=01965238&amp;EPUB=Y","https://ovidsp.ovid.com/ovidweb.cgi?T=JS&amp;NEWS=n&amp;CSC=Y&amp;PAGE=booktext&amp;D=books&amp;SC=01965238&amp;EPUB=Y")</f>
        <v>https://ovidsp.ovid.com/ovidweb.cgi?T=JS&amp;NEWS=n&amp;CSC=Y&amp;PAGE=booktext&amp;D=books&amp;SC=01965238&amp;EPUB=Y</v>
      </c>
      <c r="H1002" s="8" t="s">
        <v>1795</v>
      </c>
    </row>
    <row r="1003" spans="1:8" x14ac:dyDescent="0.3">
      <c r="A1003" s="4" t="s">
        <v>1778</v>
      </c>
      <c r="B1003" s="5">
        <v>44893</v>
      </c>
      <c r="C1003" s="6" t="s">
        <v>2367</v>
      </c>
      <c r="D1003" s="6" t="s">
        <v>1643</v>
      </c>
      <c r="E1003" s="6" t="s">
        <v>2503</v>
      </c>
      <c r="F1003" s="6" t="s">
        <v>1208</v>
      </c>
      <c r="G1003" s="7" t="str">
        <f>HYPERLINK("https://ovidsp.ovid.com/ovidweb.cgi?T=JS&amp;NEWS=n&amp;CSC=Y&amp;PAGE=booktext&amp;D=books&amp;SC=01434497&amp;EPUB=Y","https://ovidsp.ovid.com/ovidweb.cgi?T=JS&amp;NEWS=n&amp;CSC=Y&amp;PAGE=booktext&amp;D=books&amp;SC=01434497&amp;EPUB=Y")</f>
        <v>https://ovidsp.ovid.com/ovidweb.cgi?T=JS&amp;NEWS=n&amp;CSC=Y&amp;PAGE=booktext&amp;D=books&amp;SC=01434497&amp;EPUB=Y</v>
      </c>
      <c r="H1003" s="8" t="s">
        <v>1795</v>
      </c>
    </row>
    <row r="1004" spans="1:8" x14ac:dyDescent="0.3">
      <c r="A1004" s="4" t="s">
        <v>1124</v>
      </c>
      <c r="B1004" s="5">
        <v>44893</v>
      </c>
      <c r="C1004" s="6" t="s">
        <v>2367</v>
      </c>
      <c r="D1004" s="6" t="s">
        <v>1643</v>
      </c>
      <c r="E1004" s="6" t="s">
        <v>2503</v>
      </c>
      <c r="F1004" s="6" t="s">
        <v>1208</v>
      </c>
      <c r="G1004" s="7" t="str">
        <f>HYPERLINK("https://ovidsp.ovid.com/ovidweb.cgi?T=JS&amp;NEWS=n&amp;CSC=Y&amp;PAGE=booktext&amp;D=books&amp;SC=01434363&amp;EPUB=Y","https://ovidsp.ovid.com/ovidweb.cgi?T=JS&amp;NEWS=n&amp;CSC=Y&amp;PAGE=booktext&amp;D=books&amp;SC=01434363&amp;EPUB=Y")</f>
        <v>https://ovidsp.ovid.com/ovidweb.cgi?T=JS&amp;NEWS=n&amp;CSC=Y&amp;PAGE=booktext&amp;D=books&amp;SC=01434363&amp;EPUB=Y</v>
      </c>
      <c r="H1004" s="8" t="s">
        <v>1795</v>
      </c>
    </row>
    <row r="1005" spans="1:8" x14ac:dyDescent="0.3">
      <c r="A1005" s="4" t="s">
        <v>579</v>
      </c>
      <c r="B1005" s="5">
        <v>44893</v>
      </c>
      <c r="C1005" s="6" t="s">
        <v>1478</v>
      </c>
      <c r="D1005" s="6" t="s">
        <v>747</v>
      </c>
      <c r="E1005" s="6" t="s">
        <v>2503</v>
      </c>
      <c r="F1005" s="6" t="s">
        <v>241</v>
      </c>
      <c r="G1005" s="7" t="str">
        <f>HYPERLINK("https://ovidsp.ovid.com/ovidweb.cgi?T=JS&amp;NEWS=n&amp;CSC=Y&amp;PAGE=booktext&amp;D=books&amp;SC=01438238&amp;EPUB=Y","https://ovidsp.ovid.com/ovidweb.cgi?T=JS&amp;NEWS=n&amp;CSC=Y&amp;PAGE=booktext&amp;D=books&amp;SC=01438238&amp;EPUB=Y")</f>
        <v>https://ovidsp.ovid.com/ovidweb.cgi?T=JS&amp;NEWS=n&amp;CSC=Y&amp;PAGE=booktext&amp;D=books&amp;SC=01438238&amp;EPUB=Y</v>
      </c>
      <c r="H1005" s="8" t="s">
        <v>1795</v>
      </c>
    </row>
    <row r="1006" spans="1:8" x14ac:dyDescent="0.3">
      <c r="A1006" s="4" t="s">
        <v>217</v>
      </c>
      <c r="B1006" s="5">
        <v>44893</v>
      </c>
      <c r="C1006" s="6" t="s">
        <v>1367</v>
      </c>
      <c r="D1006" s="6" t="s">
        <v>1953</v>
      </c>
      <c r="E1006" s="6" t="s">
        <v>2503</v>
      </c>
      <c r="F1006" s="6" t="s">
        <v>241</v>
      </c>
      <c r="G1006" s="7" t="str">
        <f>HYPERLINK("https://ovidsp.ovid.com/ovidweb.cgi?T=JS&amp;NEWS=n&amp;CSC=Y&amp;PAGE=booktext&amp;D=books&amp;SC=01714658&amp;EPUB=Y","https://ovidsp.ovid.com/ovidweb.cgi?T=JS&amp;NEWS=n&amp;CSC=Y&amp;PAGE=booktext&amp;D=books&amp;SC=01714658&amp;EPUB=Y")</f>
        <v>https://ovidsp.ovid.com/ovidweb.cgi?T=JS&amp;NEWS=n&amp;CSC=Y&amp;PAGE=booktext&amp;D=books&amp;SC=01714658&amp;EPUB=Y</v>
      </c>
      <c r="H1006" s="8" t="s">
        <v>1795</v>
      </c>
    </row>
    <row r="1007" spans="1:8" x14ac:dyDescent="0.3">
      <c r="A1007" s="4" t="s">
        <v>2179</v>
      </c>
      <c r="B1007" s="5">
        <v>44893</v>
      </c>
      <c r="C1007" s="6" t="s">
        <v>2367</v>
      </c>
      <c r="D1007" s="6" t="s">
        <v>1643</v>
      </c>
      <c r="E1007" s="6" t="s">
        <v>2503</v>
      </c>
      <c r="F1007" s="6" t="s">
        <v>1208</v>
      </c>
      <c r="G1007" s="7" t="str">
        <f>HYPERLINK("https://ovidsp.ovid.com/ovidweb.cgi?T=JS&amp;NEWS=n&amp;CSC=Y&amp;PAGE=booktext&amp;D=books&amp;SC=01434284&amp;EPUB=Y","https://ovidsp.ovid.com/ovidweb.cgi?T=JS&amp;NEWS=n&amp;CSC=Y&amp;PAGE=booktext&amp;D=books&amp;SC=01434284&amp;EPUB=Y")</f>
        <v>https://ovidsp.ovid.com/ovidweb.cgi?T=JS&amp;NEWS=n&amp;CSC=Y&amp;PAGE=booktext&amp;D=books&amp;SC=01434284&amp;EPUB=Y</v>
      </c>
      <c r="H1007" s="8" t="s">
        <v>1795</v>
      </c>
    </row>
    <row r="1008" spans="1:8" x14ac:dyDescent="0.3">
      <c r="A1008" s="4" t="s">
        <v>2179</v>
      </c>
      <c r="B1008" s="5">
        <v>44893</v>
      </c>
      <c r="C1008" s="6" t="s">
        <v>2364</v>
      </c>
      <c r="D1008" s="6" t="s">
        <v>1419</v>
      </c>
      <c r="E1008" s="6" t="s">
        <v>2503</v>
      </c>
      <c r="F1008" s="6" t="s">
        <v>1208</v>
      </c>
      <c r="G1008" s="7" t="str">
        <f>HYPERLINK("https://ovidsp.ovid.com/ovidweb.cgi?T=JS&amp;NEWS=n&amp;CSC=Y&amp;PAGE=booktext&amp;D=books&amp;SC=01434349&amp;EPUB=Y","https://ovidsp.ovid.com/ovidweb.cgi?T=JS&amp;NEWS=n&amp;CSC=Y&amp;PAGE=booktext&amp;D=books&amp;SC=01434349&amp;EPUB=Y")</f>
        <v>https://ovidsp.ovid.com/ovidweb.cgi?T=JS&amp;NEWS=n&amp;CSC=Y&amp;PAGE=booktext&amp;D=books&amp;SC=01434349&amp;EPUB=Y</v>
      </c>
      <c r="H1008" s="8" t="s">
        <v>1795</v>
      </c>
    </row>
    <row r="1009" spans="1:8" x14ac:dyDescent="0.3">
      <c r="A1009" s="4" t="s">
        <v>833</v>
      </c>
      <c r="B1009" s="5">
        <v>44893</v>
      </c>
      <c r="C1009" s="6" t="s">
        <v>1974</v>
      </c>
      <c r="D1009" s="6" t="s">
        <v>825</v>
      </c>
      <c r="E1009" s="6" t="s">
        <v>2503</v>
      </c>
      <c r="F1009" s="6" t="s">
        <v>1208</v>
      </c>
      <c r="G1009" s="7" t="str">
        <f>HYPERLINK("https://ovidsp.ovid.com/ovidweb.cgi?T=JS&amp;NEWS=n&amp;CSC=Y&amp;PAGE=booktext&amp;D=books&amp;SC=01434836&amp;EPUB=Y","https://ovidsp.ovid.com/ovidweb.cgi?T=JS&amp;NEWS=n&amp;CSC=Y&amp;PAGE=booktext&amp;D=books&amp;SC=01434836&amp;EPUB=Y")</f>
        <v>https://ovidsp.ovid.com/ovidweb.cgi?T=JS&amp;NEWS=n&amp;CSC=Y&amp;PAGE=booktext&amp;D=books&amp;SC=01434836&amp;EPUB=Y</v>
      </c>
      <c r="H1009" s="8" t="s">
        <v>1795</v>
      </c>
    </row>
    <row r="1010" spans="1:8" x14ac:dyDescent="0.3">
      <c r="A1010" s="4" t="s">
        <v>833</v>
      </c>
      <c r="B1010" s="5">
        <v>44893</v>
      </c>
      <c r="C1010" s="6" t="s">
        <v>2294</v>
      </c>
      <c r="D1010" s="6" t="s">
        <v>284</v>
      </c>
      <c r="E1010" s="6" t="s">
        <v>2503</v>
      </c>
      <c r="F1010" s="6" t="s">
        <v>241</v>
      </c>
      <c r="G1010" s="7" t="str">
        <f>HYPERLINK("https://ovidsp.ovid.com/ovidweb.cgi?T=JS&amp;NEWS=n&amp;CSC=Y&amp;PAGE=booktext&amp;D=books&amp;SC=02186176&amp;EPUB=Y","https://ovidsp.ovid.com/ovidweb.cgi?T=JS&amp;NEWS=n&amp;CSC=Y&amp;PAGE=booktext&amp;D=books&amp;SC=02186176&amp;EPUB=Y")</f>
        <v>https://ovidsp.ovid.com/ovidweb.cgi?T=JS&amp;NEWS=n&amp;CSC=Y&amp;PAGE=booktext&amp;D=books&amp;SC=02186176&amp;EPUB=Y</v>
      </c>
      <c r="H1010" s="8" t="s">
        <v>1795</v>
      </c>
    </row>
    <row r="1011" spans="1:8" x14ac:dyDescent="0.3">
      <c r="A1011" s="4" t="s">
        <v>1300</v>
      </c>
      <c r="B1011" s="5">
        <v>44893</v>
      </c>
      <c r="C1011" s="6" t="s">
        <v>245</v>
      </c>
      <c r="D1011" s="6" t="s">
        <v>1036</v>
      </c>
      <c r="E1011" s="6" t="s">
        <v>2503</v>
      </c>
      <c r="F1011" s="6" t="s">
        <v>1208</v>
      </c>
      <c r="G1011" s="7" t="str">
        <f>HYPERLINK("https://ovidsp.ovid.com/ovidweb.cgi?T=JS&amp;NEWS=n&amp;CSC=Y&amp;PAGE=booktext&amp;D=books&amp;SC=02233687&amp;EPUB=Y","https://ovidsp.ovid.com/ovidweb.cgi?T=JS&amp;NEWS=n&amp;CSC=Y&amp;PAGE=booktext&amp;D=books&amp;SC=02233687&amp;EPUB=Y")</f>
        <v>https://ovidsp.ovid.com/ovidweb.cgi?T=JS&amp;NEWS=n&amp;CSC=Y&amp;PAGE=booktext&amp;D=books&amp;SC=02233687&amp;EPUB=Y</v>
      </c>
      <c r="H1011" s="8" t="s">
        <v>1795</v>
      </c>
    </row>
    <row r="1012" spans="1:8" x14ac:dyDescent="0.3">
      <c r="A1012" s="4" t="s">
        <v>1663</v>
      </c>
      <c r="B1012" s="5">
        <v>44893</v>
      </c>
      <c r="C1012" s="6" t="s">
        <v>1541</v>
      </c>
      <c r="D1012" s="6" t="s">
        <v>1963</v>
      </c>
      <c r="E1012" s="6" t="s">
        <v>2503</v>
      </c>
      <c r="F1012" s="6" t="s">
        <v>1208</v>
      </c>
      <c r="G1012" s="7" t="str">
        <f>HYPERLINK("https://ovidsp.ovid.com/ovidweb.cgi?T=JS&amp;NEWS=n&amp;CSC=Y&amp;PAGE=booktext&amp;D=books&amp;SC=01438239&amp;EPUB=Y","https://ovidsp.ovid.com/ovidweb.cgi?T=JS&amp;NEWS=n&amp;CSC=Y&amp;PAGE=booktext&amp;D=books&amp;SC=01438239&amp;EPUB=Y")</f>
        <v>https://ovidsp.ovid.com/ovidweb.cgi?T=JS&amp;NEWS=n&amp;CSC=Y&amp;PAGE=booktext&amp;D=books&amp;SC=01438239&amp;EPUB=Y</v>
      </c>
      <c r="H1012" s="8" t="s">
        <v>1795</v>
      </c>
    </row>
    <row r="1013" spans="1:8" x14ac:dyDescent="0.3">
      <c r="A1013" s="4" t="s">
        <v>2093</v>
      </c>
      <c r="B1013" s="5">
        <v>44893</v>
      </c>
      <c r="C1013" s="6" t="s">
        <v>2367</v>
      </c>
      <c r="D1013" s="6" t="s">
        <v>1643</v>
      </c>
      <c r="E1013" s="6" t="s">
        <v>2503</v>
      </c>
      <c r="F1013" s="6" t="s">
        <v>1208</v>
      </c>
      <c r="G1013" s="7" t="str">
        <f>HYPERLINK("https://ovidsp.ovid.com/ovidweb.cgi?T=JS&amp;NEWS=n&amp;CSC=Y&amp;PAGE=booktext&amp;D=books&amp;SC=01434464&amp;EPUB=Y","https://ovidsp.ovid.com/ovidweb.cgi?T=JS&amp;NEWS=n&amp;CSC=Y&amp;PAGE=booktext&amp;D=books&amp;SC=01434464&amp;EPUB=Y")</f>
        <v>https://ovidsp.ovid.com/ovidweb.cgi?T=JS&amp;NEWS=n&amp;CSC=Y&amp;PAGE=booktext&amp;D=books&amp;SC=01434464&amp;EPUB=Y</v>
      </c>
      <c r="H1013" s="8" t="s">
        <v>1795</v>
      </c>
    </row>
    <row r="1014" spans="1:8" x14ac:dyDescent="0.3">
      <c r="A1014" s="4" t="s">
        <v>1007</v>
      </c>
      <c r="B1014" s="5">
        <v>44893</v>
      </c>
      <c r="C1014" s="6" t="s">
        <v>2534</v>
      </c>
      <c r="D1014" s="6" t="s">
        <v>112</v>
      </c>
      <c r="E1014" s="6" t="s">
        <v>2503</v>
      </c>
      <c r="F1014" s="6" t="s">
        <v>1208</v>
      </c>
      <c r="G1014" s="7" t="str">
        <f>HYPERLINK("https://ovidsp.ovid.com/ovidweb.cgi?T=JS&amp;NEWS=n&amp;CSC=Y&amp;PAGE=booktext&amp;D=books&amp;SC=01899943&amp;EPUB=Y","https://ovidsp.ovid.com/ovidweb.cgi?T=JS&amp;NEWS=n&amp;CSC=Y&amp;PAGE=booktext&amp;D=books&amp;SC=01899943&amp;EPUB=Y")</f>
        <v>https://ovidsp.ovid.com/ovidweb.cgi?T=JS&amp;NEWS=n&amp;CSC=Y&amp;PAGE=booktext&amp;D=books&amp;SC=01899943&amp;EPUB=Y</v>
      </c>
      <c r="H1014" s="8" t="s">
        <v>1795</v>
      </c>
    </row>
    <row r="1015" spans="1:8" x14ac:dyDescent="0.3">
      <c r="A1015" s="4" t="s">
        <v>2197</v>
      </c>
      <c r="B1015" s="5">
        <v>44893</v>
      </c>
      <c r="C1015" s="6" t="s">
        <v>2155</v>
      </c>
      <c r="D1015" s="6" t="s">
        <v>2329</v>
      </c>
      <c r="E1015" s="6" t="s">
        <v>2503</v>
      </c>
      <c r="F1015" s="6" t="s">
        <v>1208</v>
      </c>
      <c r="G1015" s="7" t="str">
        <f>HYPERLINK("https://ovidsp.ovid.com/ovidweb.cgi?T=JS&amp;NEWS=n&amp;CSC=Y&amp;PAGE=booktext&amp;D=books&amp;SC=01817239&amp;EPUB=Y","https://ovidsp.ovid.com/ovidweb.cgi?T=JS&amp;NEWS=n&amp;CSC=Y&amp;PAGE=booktext&amp;D=books&amp;SC=01817239&amp;EPUB=Y")</f>
        <v>https://ovidsp.ovid.com/ovidweb.cgi?T=JS&amp;NEWS=n&amp;CSC=Y&amp;PAGE=booktext&amp;D=books&amp;SC=01817239&amp;EPUB=Y</v>
      </c>
      <c r="H1015" s="8" t="s">
        <v>1795</v>
      </c>
    </row>
    <row r="1016" spans="1:8" x14ac:dyDescent="0.3">
      <c r="A1016" s="4" t="s">
        <v>1925</v>
      </c>
      <c r="B1016" s="5">
        <v>44893</v>
      </c>
      <c r="C1016" s="6" t="s">
        <v>781</v>
      </c>
      <c r="D1016" s="6" t="s">
        <v>640</v>
      </c>
      <c r="E1016" s="6" t="s">
        <v>2503</v>
      </c>
      <c r="F1016" s="6" t="s">
        <v>1208</v>
      </c>
      <c r="G1016" s="7" t="str">
        <f>HYPERLINK("https://ovidsp.ovid.com/ovidweb.cgi?T=JS&amp;NEWS=n&amp;CSC=Y&amp;PAGE=booktext&amp;D=books&amp;SC=01933624&amp;EPUB=Y","https://ovidsp.ovid.com/ovidweb.cgi?T=JS&amp;NEWS=n&amp;CSC=Y&amp;PAGE=booktext&amp;D=books&amp;SC=01933624&amp;EPUB=Y")</f>
        <v>https://ovidsp.ovid.com/ovidweb.cgi?T=JS&amp;NEWS=n&amp;CSC=Y&amp;PAGE=booktext&amp;D=books&amp;SC=01933624&amp;EPUB=Y</v>
      </c>
      <c r="H1016" s="8" t="s">
        <v>1795</v>
      </c>
    </row>
    <row r="1017" spans="1:8" x14ac:dyDescent="0.3">
      <c r="A1017" s="4" t="s">
        <v>989</v>
      </c>
      <c r="B1017" s="5">
        <v>44893</v>
      </c>
      <c r="C1017" s="6" t="s">
        <v>2367</v>
      </c>
      <c r="D1017" s="6" t="s">
        <v>1643</v>
      </c>
      <c r="E1017" s="6" t="s">
        <v>2503</v>
      </c>
      <c r="F1017" s="6" t="s">
        <v>241</v>
      </c>
      <c r="G1017" s="7" t="str">
        <f>HYPERLINK("https://ovidsp.ovid.com/ovidweb.cgi?T=JS&amp;NEWS=n&amp;CSC=Y&amp;PAGE=booktext&amp;D=books&amp;SC=01434268&amp;EPUB=Y","https://ovidsp.ovid.com/ovidweb.cgi?T=JS&amp;NEWS=n&amp;CSC=Y&amp;PAGE=booktext&amp;D=books&amp;SC=01434268&amp;EPUB=Y")</f>
        <v>https://ovidsp.ovid.com/ovidweb.cgi?T=JS&amp;NEWS=n&amp;CSC=Y&amp;PAGE=booktext&amp;D=books&amp;SC=01434268&amp;EPUB=Y</v>
      </c>
      <c r="H1017" s="8" t="s">
        <v>1795</v>
      </c>
    </row>
    <row r="1018" spans="1:8" x14ac:dyDescent="0.3">
      <c r="A1018" s="4" t="s">
        <v>779</v>
      </c>
      <c r="B1018" s="5">
        <v>44893</v>
      </c>
      <c r="C1018" s="6" t="s">
        <v>1447</v>
      </c>
      <c r="D1018" s="6" t="s">
        <v>790</v>
      </c>
      <c r="E1018" s="6" t="s">
        <v>2503</v>
      </c>
      <c r="F1018" s="6" t="s">
        <v>1208</v>
      </c>
      <c r="G1018" s="7" t="str">
        <f>HYPERLINK("https://ovidsp.ovid.com/ovidweb.cgi?T=JS&amp;NEWS=n&amp;CSC=Y&amp;PAGE=booktext&amp;D=books&amp;SC=01434561&amp;EPUB=Y","https://ovidsp.ovid.com/ovidweb.cgi?T=JS&amp;NEWS=n&amp;CSC=Y&amp;PAGE=booktext&amp;D=books&amp;SC=01434561&amp;EPUB=Y")</f>
        <v>https://ovidsp.ovid.com/ovidweb.cgi?T=JS&amp;NEWS=n&amp;CSC=Y&amp;PAGE=booktext&amp;D=books&amp;SC=01434561&amp;EPUB=Y</v>
      </c>
      <c r="H1018" s="8" t="s">
        <v>1795</v>
      </c>
    </row>
    <row r="1019" spans="1:8" x14ac:dyDescent="0.3">
      <c r="A1019" s="4" t="s">
        <v>1842</v>
      </c>
      <c r="B1019" s="5">
        <v>44893</v>
      </c>
      <c r="C1019" s="6" t="s">
        <v>2367</v>
      </c>
      <c r="D1019" s="6" t="s">
        <v>1643</v>
      </c>
      <c r="E1019" s="6" t="s">
        <v>2503</v>
      </c>
      <c r="F1019" s="6" t="s">
        <v>1208</v>
      </c>
      <c r="G1019" s="7" t="str">
        <f>HYPERLINK("https://ovidsp.ovid.com/ovidweb.cgi?T=JS&amp;NEWS=n&amp;CSC=Y&amp;PAGE=booktext&amp;D=books&amp;SC=01434482&amp;EPUB=Y","https://ovidsp.ovid.com/ovidweb.cgi?T=JS&amp;NEWS=n&amp;CSC=Y&amp;PAGE=booktext&amp;D=books&amp;SC=01434482&amp;EPUB=Y")</f>
        <v>https://ovidsp.ovid.com/ovidweb.cgi?T=JS&amp;NEWS=n&amp;CSC=Y&amp;PAGE=booktext&amp;D=books&amp;SC=01434482&amp;EPUB=Y</v>
      </c>
      <c r="H1019" s="8" t="s">
        <v>1795</v>
      </c>
    </row>
    <row r="1020" spans="1:8" x14ac:dyDescent="0.3">
      <c r="A1020" s="4" t="s">
        <v>471</v>
      </c>
      <c r="B1020" s="5">
        <v>44893</v>
      </c>
      <c r="C1020" s="6" t="s">
        <v>1833</v>
      </c>
      <c r="D1020" s="6" t="s">
        <v>2530</v>
      </c>
      <c r="E1020" s="6" t="s">
        <v>2503</v>
      </c>
      <c r="F1020" s="6" t="s">
        <v>1208</v>
      </c>
      <c r="G1020" s="7" t="str">
        <f>HYPERLINK("https://ovidsp.ovid.com/ovidweb.cgi?T=JS&amp;NEWS=n&amp;CSC=Y&amp;PAGE=booktext&amp;D=books&amp;SC=01838258&amp;EPUB=Y","https://ovidsp.ovid.com/ovidweb.cgi?T=JS&amp;NEWS=n&amp;CSC=Y&amp;PAGE=booktext&amp;D=books&amp;SC=01838258&amp;EPUB=Y")</f>
        <v>https://ovidsp.ovid.com/ovidweb.cgi?T=JS&amp;NEWS=n&amp;CSC=Y&amp;PAGE=booktext&amp;D=books&amp;SC=01838258&amp;EPUB=Y</v>
      </c>
      <c r="H1020" s="8" t="s">
        <v>1795</v>
      </c>
    </row>
    <row r="1021" spans="1:8" x14ac:dyDescent="0.3">
      <c r="A1021" s="4" t="s">
        <v>1642</v>
      </c>
      <c r="B1021" s="5">
        <v>44893</v>
      </c>
      <c r="C1021" s="6" t="s">
        <v>1131</v>
      </c>
      <c r="D1021" s="6" t="s">
        <v>1835</v>
      </c>
      <c r="E1021" s="6" t="s">
        <v>2503</v>
      </c>
      <c r="F1021" s="6" t="s">
        <v>1208</v>
      </c>
      <c r="G1021" s="7" t="str">
        <f>HYPERLINK("https://ovidsp.ovid.com/ovidweb.cgi?T=JS&amp;NEWS=n&amp;CSC=Y&amp;PAGE=booktext&amp;D=books&amp;SC=02081105&amp;EPUB=Y","https://ovidsp.ovid.com/ovidweb.cgi?T=JS&amp;NEWS=n&amp;CSC=Y&amp;PAGE=booktext&amp;D=books&amp;SC=02081105&amp;EPUB=Y")</f>
        <v>https://ovidsp.ovid.com/ovidweb.cgi?T=JS&amp;NEWS=n&amp;CSC=Y&amp;PAGE=booktext&amp;D=books&amp;SC=02081105&amp;EPUB=Y</v>
      </c>
      <c r="H1021" s="8" t="s">
        <v>1795</v>
      </c>
    </row>
    <row r="1022" spans="1:8" x14ac:dyDescent="0.3">
      <c r="A1022" s="4" t="s">
        <v>1727</v>
      </c>
      <c r="B1022" s="5">
        <v>44893</v>
      </c>
      <c r="C1022" s="6" t="s">
        <v>401</v>
      </c>
      <c r="D1022" s="6" t="s">
        <v>118</v>
      </c>
      <c r="E1022" s="6" t="s">
        <v>2503</v>
      </c>
      <c r="F1022" s="6" t="s">
        <v>1208</v>
      </c>
      <c r="G1022" s="7" t="str">
        <f>HYPERLINK("https://ovidsp.ovid.com/ovidweb.cgi?T=JS&amp;NEWS=n&amp;CSC=Y&amp;PAGE=booktext&amp;D=books&amp;SC=01607902&amp;EPUB=Y","https://ovidsp.ovid.com/ovidweb.cgi?T=JS&amp;NEWS=n&amp;CSC=Y&amp;PAGE=booktext&amp;D=books&amp;SC=01607902&amp;EPUB=Y")</f>
        <v>https://ovidsp.ovid.com/ovidweb.cgi?T=JS&amp;NEWS=n&amp;CSC=Y&amp;PAGE=booktext&amp;D=books&amp;SC=01607902&amp;EPUB=Y</v>
      </c>
      <c r="H1022" s="8" t="s">
        <v>1795</v>
      </c>
    </row>
    <row r="1023" spans="1:8" x14ac:dyDescent="0.3">
      <c r="A1023" s="4" t="s">
        <v>1749</v>
      </c>
      <c r="B1023" s="5">
        <v>44893</v>
      </c>
      <c r="C1023" s="6" t="s">
        <v>10</v>
      </c>
      <c r="D1023" s="6" t="s">
        <v>1435</v>
      </c>
      <c r="E1023" s="6" t="s">
        <v>2503</v>
      </c>
      <c r="F1023" s="6" t="s">
        <v>1208</v>
      </c>
      <c r="G1023" s="7" t="str">
        <f>HYPERLINK("https://ovidsp.ovid.com/ovidweb.cgi?T=JS&amp;NEWS=n&amp;CSC=Y&amp;PAGE=booktext&amp;D=books&amp;SC=02050049&amp;EPUB=Y","https://ovidsp.ovid.com/ovidweb.cgi?T=JS&amp;NEWS=n&amp;CSC=Y&amp;PAGE=booktext&amp;D=books&amp;SC=02050049&amp;EPUB=Y")</f>
        <v>https://ovidsp.ovid.com/ovidweb.cgi?T=JS&amp;NEWS=n&amp;CSC=Y&amp;PAGE=booktext&amp;D=books&amp;SC=02050049&amp;EPUB=Y</v>
      </c>
      <c r="H1023" s="8" t="s">
        <v>1795</v>
      </c>
    </row>
    <row r="1024" spans="1:8" x14ac:dyDescent="0.3">
      <c r="A1024" s="4" t="s">
        <v>2077</v>
      </c>
      <c r="B1024" s="5">
        <v>44893</v>
      </c>
      <c r="C1024" s="6" t="s">
        <v>1752</v>
      </c>
      <c r="D1024" s="6" t="s">
        <v>2223</v>
      </c>
      <c r="E1024" s="6" t="s">
        <v>2503</v>
      </c>
      <c r="F1024" s="6" t="s">
        <v>1208</v>
      </c>
      <c r="G1024" s="7" t="str">
        <f>HYPERLINK("https://ovidsp.ovid.com/ovidweb.cgi?T=JS&amp;NEWS=n&amp;CSC=Y&amp;PAGE=booktext&amp;D=books&amp;SC=01434503&amp;EPUB=Y","https://ovidsp.ovid.com/ovidweb.cgi?T=JS&amp;NEWS=n&amp;CSC=Y&amp;PAGE=booktext&amp;D=books&amp;SC=01434503&amp;EPUB=Y")</f>
        <v>https://ovidsp.ovid.com/ovidweb.cgi?T=JS&amp;NEWS=n&amp;CSC=Y&amp;PAGE=booktext&amp;D=books&amp;SC=01434503&amp;EPUB=Y</v>
      </c>
      <c r="H1024" s="8" t="s">
        <v>1795</v>
      </c>
    </row>
    <row r="1025" spans="1:8" x14ac:dyDescent="0.3">
      <c r="A1025" s="4" t="s">
        <v>602</v>
      </c>
      <c r="B1025" s="5">
        <v>44893</v>
      </c>
      <c r="C1025" s="6" t="s">
        <v>1104</v>
      </c>
      <c r="D1025" s="6" t="s">
        <v>1098</v>
      </c>
      <c r="E1025" s="6" t="s">
        <v>2503</v>
      </c>
      <c r="F1025" s="6" t="s">
        <v>1208</v>
      </c>
      <c r="G1025" s="7" t="str">
        <f>HYPERLINK("https://ovidsp.ovid.com/ovidweb.cgi?T=JS&amp;NEWS=n&amp;CSC=Y&amp;PAGE=booktext&amp;D=books&amp;SC=01434478&amp;EPUB=Y","https://ovidsp.ovid.com/ovidweb.cgi?T=JS&amp;NEWS=n&amp;CSC=Y&amp;PAGE=booktext&amp;D=books&amp;SC=01434478&amp;EPUB=Y")</f>
        <v>https://ovidsp.ovid.com/ovidweb.cgi?T=JS&amp;NEWS=n&amp;CSC=Y&amp;PAGE=booktext&amp;D=books&amp;SC=01434478&amp;EPUB=Y</v>
      </c>
      <c r="H1025" s="8" t="s">
        <v>1795</v>
      </c>
    </row>
    <row r="1026" spans="1:8" x14ac:dyDescent="0.3">
      <c r="A1026" s="4" t="s">
        <v>1066</v>
      </c>
      <c r="B1026" s="5">
        <v>44893</v>
      </c>
      <c r="C1026" s="6" t="s">
        <v>2367</v>
      </c>
      <c r="D1026" s="6" t="s">
        <v>1643</v>
      </c>
      <c r="E1026" s="6" t="s">
        <v>2503</v>
      </c>
      <c r="F1026" s="6" t="s">
        <v>1208</v>
      </c>
      <c r="G1026" s="7" t="str">
        <f>HYPERLINK("https://ovidsp.ovid.com/ovidweb.cgi?T=JS&amp;NEWS=n&amp;CSC=Y&amp;PAGE=booktext&amp;D=books&amp;SC=01434489&amp;EPUB=Y","https://ovidsp.ovid.com/ovidweb.cgi?T=JS&amp;NEWS=n&amp;CSC=Y&amp;PAGE=booktext&amp;D=books&amp;SC=01434489&amp;EPUB=Y")</f>
        <v>https://ovidsp.ovid.com/ovidweb.cgi?T=JS&amp;NEWS=n&amp;CSC=Y&amp;PAGE=booktext&amp;D=books&amp;SC=01434489&amp;EPUB=Y</v>
      </c>
      <c r="H1026" s="8" t="s">
        <v>1795</v>
      </c>
    </row>
    <row r="1027" spans="1:8" x14ac:dyDescent="0.3">
      <c r="A1027" s="4" t="s">
        <v>479</v>
      </c>
      <c r="B1027" s="5">
        <v>44893</v>
      </c>
      <c r="C1027" s="6" t="s">
        <v>2367</v>
      </c>
      <c r="D1027" s="6" t="s">
        <v>1643</v>
      </c>
      <c r="E1027" s="6" t="s">
        <v>2503</v>
      </c>
      <c r="F1027" s="6" t="s">
        <v>1208</v>
      </c>
      <c r="G1027" s="7" t="str">
        <f>HYPERLINK("https://ovidsp.ovid.com/ovidweb.cgi?T=JS&amp;NEWS=n&amp;CSC=Y&amp;PAGE=booktext&amp;D=books&amp;SC=01434501&amp;EPUB=Y","https://ovidsp.ovid.com/ovidweb.cgi?T=JS&amp;NEWS=n&amp;CSC=Y&amp;PAGE=booktext&amp;D=books&amp;SC=01434501&amp;EPUB=Y")</f>
        <v>https://ovidsp.ovid.com/ovidweb.cgi?T=JS&amp;NEWS=n&amp;CSC=Y&amp;PAGE=booktext&amp;D=books&amp;SC=01434501&amp;EPUB=Y</v>
      </c>
      <c r="H1027" s="8" t="s">
        <v>1795</v>
      </c>
    </row>
    <row r="1028" spans="1:8" x14ac:dyDescent="0.3">
      <c r="A1028" s="4" t="s">
        <v>1308</v>
      </c>
      <c r="B1028" s="5">
        <v>44893</v>
      </c>
      <c r="C1028" s="6" t="s">
        <v>236</v>
      </c>
      <c r="D1028" s="6" t="s">
        <v>1647</v>
      </c>
      <c r="E1028" s="6" t="s">
        <v>2503</v>
      </c>
      <c r="F1028" s="6" t="s">
        <v>1208</v>
      </c>
      <c r="G1028" s="7" t="str">
        <f>HYPERLINK("https://ovidsp.ovid.com/ovidweb.cgi?T=JS&amp;NEWS=n&amp;CSC=Y&amp;PAGE=booktext&amp;D=books&amp;SC=01518811&amp;EPUB=Y","https://ovidsp.ovid.com/ovidweb.cgi?T=JS&amp;NEWS=n&amp;CSC=Y&amp;PAGE=booktext&amp;D=books&amp;SC=01518811&amp;EPUB=Y")</f>
        <v>https://ovidsp.ovid.com/ovidweb.cgi?T=JS&amp;NEWS=n&amp;CSC=Y&amp;PAGE=booktext&amp;D=books&amp;SC=01518811&amp;EPUB=Y</v>
      </c>
      <c r="H1028" s="8" t="s">
        <v>1795</v>
      </c>
    </row>
    <row r="1029" spans="1:8" x14ac:dyDescent="0.3">
      <c r="A1029" s="4" t="s">
        <v>1564</v>
      </c>
      <c r="B1029" s="5">
        <v>44893</v>
      </c>
      <c r="C1029" s="6" t="s">
        <v>2410</v>
      </c>
      <c r="D1029" s="6" t="s">
        <v>438</v>
      </c>
      <c r="E1029" s="6" t="s">
        <v>2503</v>
      </c>
      <c r="F1029" s="6" t="s">
        <v>619</v>
      </c>
      <c r="G1029" s="7" t="str">
        <f>HYPERLINK("https://ovidsp.ovid.com/ovidweb.cgi?T=JS&amp;NEWS=n&amp;CSC=Y&amp;PAGE=booktext&amp;D=books&amp;SC=01437833&amp;EPUB=Y","https://ovidsp.ovid.com/ovidweb.cgi?T=JS&amp;NEWS=n&amp;CSC=Y&amp;PAGE=booktext&amp;D=books&amp;SC=01437833&amp;EPUB=Y")</f>
        <v>https://ovidsp.ovid.com/ovidweb.cgi?T=JS&amp;NEWS=n&amp;CSC=Y&amp;PAGE=booktext&amp;D=books&amp;SC=01437833&amp;EPUB=Y</v>
      </c>
      <c r="H1029" s="8" t="s">
        <v>1795</v>
      </c>
    </row>
    <row r="1030" spans="1:8" x14ac:dyDescent="0.3">
      <c r="A1030" s="4" t="s">
        <v>875</v>
      </c>
      <c r="B1030" s="5">
        <v>44893</v>
      </c>
      <c r="C1030" s="6" t="s">
        <v>2367</v>
      </c>
      <c r="D1030" s="6" t="s">
        <v>1643</v>
      </c>
      <c r="E1030" s="6" t="s">
        <v>2503</v>
      </c>
      <c r="F1030" s="6" t="s">
        <v>1208</v>
      </c>
      <c r="G1030" s="7" t="str">
        <f>HYPERLINK("https://ovidsp.ovid.com/ovidweb.cgi?T=JS&amp;NEWS=n&amp;CSC=Y&amp;PAGE=booktext&amp;D=books&amp;SC=01434311&amp;EPUB=Y","https://ovidsp.ovid.com/ovidweb.cgi?T=JS&amp;NEWS=n&amp;CSC=Y&amp;PAGE=booktext&amp;D=books&amp;SC=01434311&amp;EPUB=Y")</f>
        <v>https://ovidsp.ovid.com/ovidweb.cgi?T=JS&amp;NEWS=n&amp;CSC=Y&amp;PAGE=booktext&amp;D=books&amp;SC=01434311&amp;EPUB=Y</v>
      </c>
      <c r="H1030" s="8" t="s">
        <v>1795</v>
      </c>
    </row>
    <row r="1031" spans="1:8" x14ac:dyDescent="0.3">
      <c r="A1031" s="4" t="s">
        <v>1571</v>
      </c>
      <c r="B1031" s="5">
        <v>44893</v>
      </c>
      <c r="C1031" s="6" t="s">
        <v>728</v>
      </c>
      <c r="D1031" s="6" t="s">
        <v>1862</v>
      </c>
      <c r="E1031" s="6" t="s">
        <v>2503</v>
      </c>
      <c r="F1031" s="6" t="s">
        <v>1208</v>
      </c>
      <c r="G1031" s="7" t="str">
        <f>HYPERLINK("https://ovidsp.ovid.com/ovidweb.cgi?T=JS&amp;NEWS=n&amp;CSC=Y&amp;PAGE=booktext&amp;D=books&amp;SC=02223340&amp;EPUB=Y","https://ovidsp.ovid.com/ovidweb.cgi?T=JS&amp;NEWS=n&amp;CSC=Y&amp;PAGE=booktext&amp;D=books&amp;SC=02223340&amp;EPUB=Y")</f>
        <v>https://ovidsp.ovid.com/ovidweb.cgi?T=JS&amp;NEWS=n&amp;CSC=Y&amp;PAGE=booktext&amp;D=books&amp;SC=02223340&amp;EPUB=Y</v>
      </c>
      <c r="H1031" s="8" t="s">
        <v>1795</v>
      </c>
    </row>
    <row r="1032" spans="1:8" x14ac:dyDescent="0.3">
      <c r="A1032" s="4" t="s">
        <v>1093</v>
      </c>
      <c r="B1032" s="5">
        <v>44893</v>
      </c>
      <c r="C1032" s="6" t="s">
        <v>2248</v>
      </c>
      <c r="D1032" s="6" t="s">
        <v>653</v>
      </c>
      <c r="E1032" s="6" t="s">
        <v>2503</v>
      </c>
      <c r="F1032" s="6" t="s">
        <v>1208</v>
      </c>
      <c r="G1032" s="7" t="str">
        <f>HYPERLINK("https://ovidsp.ovid.com/ovidweb.cgi?T=JS&amp;NEWS=n&amp;CSC=Y&amp;PAGE=booktext&amp;D=books&amp;SC=01933625&amp;EPUB=Y","https://ovidsp.ovid.com/ovidweb.cgi?T=JS&amp;NEWS=n&amp;CSC=Y&amp;PAGE=booktext&amp;D=books&amp;SC=01933625&amp;EPUB=Y")</f>
        <v>https://ovidsp.ovid.com/ovidweb.cgi?T=JS&amp;NEWS=n&amp;CSC=Y&amp;PAGE=booktext&amp;D=books&amp;SC=01933625&amp;EPUB=Y</v>
      </c>
      <c r="H1032" s="8" t="s">
        <v>1795</v>
      </c>
    </row>
    <row r="1033" spans="1:8" x14ac:dyDescent="0.3">
      <c r="A1033" s="4" t="s">
        <v>2456</v>
      </c>
      <c r="B1033" s="5">
        <v>44893</v>
      </c>
      <c r="C1033" s="6" t="s">
        <v>2544</v>
      </c>
      <c r="D1033" s="6" t="s">
        <v>1896</v>
      </c>
      <c r="E1033" s="6" t="s">
        <v>2503</v>
      </c>
      <c r="F1033" s="6" t="s">
        <v>1208</v>
      </c>
      <c r="G1033" s="7" t="str">
        <f>HYPERLINK("https://ovidsp.ovid.com/ovidweb.cgi?T=JS&amp;NEWS=n&amp;CSC=Y&amp;PAGE=booktext&amp;D=books&amp;SC=01437478&amp;EPUB=Y","https://ovidsp.ovid.com/ovidweb.cgi?T=JS&amp;NEWS=n&amp;CSC=Y&amp;PAGE=booktext&amp;D=books&amp;SC=01437478&amp;EPUB=Y")</f>
        <v>https://ovidsp.ovid.com/ovidweb.cgi?T=JS&amp;NEWS=n&amp;CSC=Y&amp;PAGE=booktext&amp;D=books&amp;SC=01437478&amp;EPUB=Y</v>
      </c>
      <c r="H1033" s="8" t="s">
        <v>1795</v>
      </c>
    </row>
    <row r="1034" spans="1:8" x14ac:dyDescent="0.3">
      <c r="A1034" s="4" t="s">
        <v>2142</v>
      </c>
      <c r="B1034" s="5">
        <v>44893</v>
      </c>
      <c r="C1034" s="6" t="s">
        <v>924</v>
      </c>
      <c r="D1034" s="6" t="s">
        <v>2258</v>
      </c>
      <c r="E1034" s="6" t="s">
        <v>2503</v>
      </c>
      <c r="F1034" s="6" t="s">
        <v>1208</v>
      </c>
      <c r="G1034" s="7" t="str">
        <f>HYPERLINK("https://ovidsp.ovid.com/ovidweb.cgi?T=JS&amp;NEWS=n&amp;CSC=Y&amp;PAGE=booktext&amp;D=books&amp;SC=01694350&amp;EPUB=Y","https://ovidsp.ovid.com/ovidweb.cgi?T=JS&amp;NEWS=n&amp;CSC=Y&amp;PAGE=booktext&amp;D=books&amp;SC=01694350&amp;EPUB=Y")</f>
        <v>https://ovidsp.ovid.com/ovidweb.cgi?T=JS&amp;NEWS=n&amp;CSC=Y&amp;PAGE=booktext&amp;D=books&amp;SC=01694350&amp;EPUB=Y</v>
      </c>
      <c r="H1034" s="8" t="s">
        <v>1795</v>
      </c>
    </row>
    <row r="1035" spans="1:8" x14ac:dyDescent="0.3">
      <c r="A1035" s="4" t="s">
        <v>1463</v>
      </c>
      <c r="B1035" s="5">
        <v>44893</v>
      </c>
      <c r="C1035" s="6" t="s">
        <v>2494</v>
      </c>
      <c r="D1035" s="6" t="s">
        <v>580</v>
      </c>
      <c r="E1035" s="6" t="s">
        <v>2503</v>
      </c>
      <c r="F1035" s="6" t="s">
        <v>1208</v>
      </c>
      <c r="G1035" s="7" t="str">
        <f>HYPERLINK("https://ovidsp.ovid.com/ovidweb.cgi?T=JS&amp;NEWS=n&amp;CSC=Y&amp;PAGE=booktext&amp;D=books&amp;SC=01787376&amp;EPUB=Y","https://ovidsp.ovid.com/ovidweb.cgi?T=JS&amp;NEWS=n&amp;CSC=Y&amp;PAGE=booktext&amp;D=books&amp;SC=01787376&amp;EPUB=Y")</f>
        <v>https://ovidsp.ovid.com/ovidweb.cgi?T=JS&amp;NEWS=n&amp;CSC=Y&amp;PAGE=booktext&amp;D=books&amp;SC=01787376&amp;EPUB=Y</v>
      </c>
      <c r="H1035" s="8" t="s">
        <v>1795</v>
      </c>
    </row>
    <row r="1036" spans="1:8" x14ac:dyDescent="0.3">
      <c r="A1036" s="4" t="s">
        <v>1404</v>
      </c>
      <c r="B1036" s="5">
        <v>44893</v>
      </c>
      <c r="C1036" s="6" t="s">
        <v>2452</v>
      </c>
      <c r="D1036" s="6" t="s">
        <v>519</v>
      </c>
      <c r="E1036" s="6" t="s">
        <v>2503</v>
      </c>
      <c r="F1036" s="6" t="s">
        <v>1208</v>
      </c>
      <c r="G1036" s="7" t="str">
        <f>HYPERLINK("https://ovidsp.ovid.com/ovidweb.cgi?T=JS&amp;NEWS=n&amp;CSC=Y&amp;PAGE=booktext&amp;D=books&amp;SC=01647963&amp;EPUB=Y","https://ovidsp.ovid.com/ovidweb.cgi?T=JS&amp;NEWS=n&amp;CSC=Y&amp;PAGE=booktext&amp;D=books&amp;SC=01647963&amp;EPUB=Y")</f>
        <v>https://ovidsp.ovid.com/ovidweb.cgi?T=JS&amp;NEWS=n&amp;CSC=Y&amp;PAGE=booktext&amp;D=books&amp;SC=01647963&amp;EPUB=Y</v>
      </c>
      <c r="H1036" s="8" t="s">
        <v>1795</v>
      </c>
    </row>
    <row r="1037" spans="1:8" x14ac:dyDescent="0.3">
      <c r="A1037" s="4" t="s">
        <v>664</v>
      </c>
      <c r="B1037" s="5">
        <v>44893</v>
      </c>
      <c r="C1037" s="6" t="s">
        <v>1658</v>
      </c>
      <c r="D1037" s="6" t="s">
        <v>751</v>
      </c>
      <c r="E1037" s="6" t="s">
        <v>2503</v>
      </c>
      <c r="F1037" s="6" t="s">
        <v>1208</v>
      </c>
      <c r="G1037" s="7" t="str">
        <f>HYPERLINK("https://ovidsp.ovid.com/ovidweb.cgi?T=JS&amp;NEWS=n&amp;CSC=Y&amp;PAGE=booktext&amp;D=books&amp;SC=02272939&amp;EPUB=Y","https://ovidsp.ovid.com/ovidweb.cgi?T=JS&amp;NEWS=n&amp;CSC=Y&amp;PAGE=booktext&amp;D=books&amp;SC=02272939&amp;EPUB=Y")</f>
        <v>https://ovidsp.ovid.com/ovidweb.cgi?T=JS&amp;NEWS=n&amp;CSC=Y&amp;PAGE=booktext&amp;D=books&amp;SC=02272939&amp;EPUB=Y</v>
      </c>
      <c r="H1037" s="8" t="s">
        <v>1795</v>
      </c>
    </row>
    <row r="1038" spans="1:8" x14ac:dyDescent="0.3">
      <c r="A1038" s="4" t="s">
        <v>817</v>
      </c>
      <c r="B1038" s="5">
        <v>44893</v>
      </c>
      <c r="C1038" s="6" t="s">
        <v>565</v>
      </c>
      <c r="D1038" s="6" t="s">
        <v>1125</v>
      </c>
      <c r="E1038" s="6" t="s">
        <v>2503</v>
      </c>
      <c r="F1038" s="6" t="s">
        <v>1208</v>
      </c>
      <c r="G1038" s="7" t="str">
        <f>HYPERLINK("https://ovidsp.ovid.com/ovidweb.cgi?T=JS&amp;NEWS=n&amp;CSC=Y&amp;PAGE=booktext&amp;D=books&amp;SC=01929420&amp;EPUB=Y","https://ovidsp.ovid.com/ovidweb.cgi?T=JS&amp;NEWS=n&amp;CSC=Y&amp;PAGE=booktext&amp;D=books&amp;SC=01929420&amp;EPUB=Y")</f>
        <v>https://ovidsp.ovid.com/ovidweb.cgi?T=JS&amp;NEWS=n&amp;CSC=Y&amp;PAGE=booktext&amp;D=books&amp;SC=01929420&amp;EPUB=Y</v>
      </c>
      <c r="H1038" s="8" t="s">
        <v>1795</v>
      </c>
    </row>
    <row r="1039" spans="1:8" x14ac:dyDescent="0.3">
      <c r="A1039" s="4" t="s">
        <v>648</v>
      </c>
      <c r="B1039" s="5">
        <v>44893</v>
      </c>
      <c r="C1039" s="6" t="s">
        <v>916</v>
      </c>
      <c r="D1039" s="6" t="s">
        <v>595</v>
      </c>
      <c r="E1039" s="6" t="s">
        <v>2503</v>
      </c>
      <c r="F1039" s="6" t="s">
        <v>1208</v>
      </c>
      <c r="G1039" s="7" t="str">
        <f>HYPERLINK("https://ovidsp.ovid.com/ovidweb.cgi?T=JS&amp;NEWS=n&amp;CSC=Y&amp;PAGE=booktext&amp;D=books&amp;SC=02045096&amp;EPUB=Y","https://ovidsp.ovid.com/ovidweb.cgi?T=JS&amp;NEWS=n&amp;CSC=Y&amp;PAGE=booktext&amp;D=books&amp;SC=02045096&amp;EPUB=Y")</f>
        <v>https://ovidsp.ovid.com/ovidweb.cgi?T=JS&amp;NEWS=n&amp;CSC=Y&amp;PAGE=booktext&amp;D=books&amp;SC=02045096&amp;EPUB=Y</v>
      </c>
      <c r="H1039" s="8" t="s">
        <v>1795</v>
      </c>
    </row>
    <row r="1040" spans="1:8" x14ac:dyDescent="0.3">
      <c r="A1040" s="4" t="s">
        <v>68</v>
      </c>
      <c r="B1040" s="5">
        <v>44893</v>
      </c>
      <c r="C1040" s="6" t="s">
        <v>1679</v>
      </c>
      <c r="D1040" s="6" t="s">
        <v>2496</v>
      </c>
      <c r="E1040" s="6" t="s">
        <v>2503</v>
      </c>
      <c r="F1040" s="6" t="s">
        <v>1208</v>
      </c>
      <c r="G1040" s="7" t="str">
        <f>HYPERLINK("https://ovidsp.ovid.com/ovidweb.cgi?T=JS&amp;NEWS=n&amp;CSC=Y&amp;PAGE=booktext&amp;D=books&amp;SC=01996153&amp;EPUB=Y","https://ovidsp.ovid.com/ovidweb.cgi?T=JS&amp;NEWS=n&amp;CSC=Y&amp;PAGE=booktext&amp;D=books&amp;SC=01996153&amp;EPUB=Y")</f>
        <v>https://ovidsp.ovid.com/ovidweb.cgi?T=JS&amp;NEWS=n&amp;CSC=Y&amp;PAGE=booktext&amp;D=books&amp;SC=01996153&amp;EPUB=Y</v>
      </c>
      <c r="H1040" s="8" t="s">
        <v>1795</v>
      </c>
    </row>
    <row r="1041" spans="1:8" x14ac:dyDescent="0.3">
      <c r="A1041" s="4" t="s">
        <v>1957</v>
      </c>
      <c r="B1041" s="5">
        <v>44893</v>
      </c>
      <c r="C1041" s="6" t="s">
        <v>900</v>
      </c>
      <c r="D1041" s="6" t="s">
        <v>2571</v>
      </c>
      <c r="E1041" s="6" t="s">
        <v>2503</v>
      </c>
      <c r="F1041" s="6" t="s">
        <v>1208</v>
      </c>
      <c r="G1041" s="7" t="str">
        <f>HYPERLINK("https://ovidsp.ovid.com/ovidweb.cgi?T=JS&amp;NEWS=n&amp;CSC=Y&amp;PAGE=booktext&amp;D=books&amp;SC=01929399&amp;EPUB=Y","https://ovidsp.ovid.com/ovidweb.cgi?T=JS&amp;NEWS=n&amp;CSC=Y&amp;PAGE=booktext&amp;D=books&amp;SC=01929399&amp;EPUB=Y")</f>
        <v>https://ovidsp.ovid.com/ovidweb.cgi?T=JS&amp;NEWS=n&amp;CSC=Y&amp;PAGE=booktext&amp;D=books&amp;SC=01929399&amp;EPUB=Y</v>
      </c>
      <c r="H1041" s="8" t="s">
        <v>1795</v>
      </c>
    </row>
    <row r="1042" spans="1:8" x14ac:dyDescent="0.3">
      <c r="A1042" s="4" t="s">
        <v>574</v>
      </c>
      <c r="B1042" s="5">
        <v>44893</v>
      </c>
      <c r="C1042" s="6" t="s">
        <v>1113</v>
      </c>
      <c r="D1042" s="6" t="s">
        <v>2183</v>
      </c>
      <c r="E1042" s="6" t="s">
        <v>2503</v>
      </c>
      <c r="F1042" s="6" t="s">
        <v>241</v>
      </c>
      <c r="G1042" s="7" t="str">
        <f>HYPERLINK("https://ovidsp.ovid.com/ovidweb.cgi?T=JS&amp;NEWS=n&amp;CSC=Y&amp;PAGE=booktext&amp;D=books&amp;SC=01434598&amp;EPUB=Y","https://ovidsp.ovid.com/ovidweb.cgi?T=JS&amp;NEWS=n&amp;CSC=Y&amp;PAGE=booktext&amp;D=books&amp;SC=01434598&amp;EPUB=Y")</f>
        <v>https://ovidsp.ovid.com/ovidweb.cgi?T=JS&amp;NEWS=n&amp;CSC=Y&amp;PAGE=booktext&amp;D=books&amp;SC=01434598&amp;EPUB=Y</v>
      </c>
      <c r="H1042" s="8" t="s">
        <v>1795</v>
      </c>
    </row>
    <row r="1043" spans="1:8" x14ac:dyDescent="0.3">
      <c r="A1043" s="4" t="s">
        <v>1187</v>
      </c>
      <c r="B1043" s="5">
        <v>44893</v>
      </c>
      <c r="C1043" s="6" t="s">
        <v>2367</v>
      </c>
      <c r="D1043" s="6" t="s">
        <v>1643</v>
      </c>
      <c r="E1043" s="6" t="s">
        <v>2503</v>
      </c>
      <c r="F1043" s="6" t="s">
        <v>1208</v>
      </c>
      <c r="G1043" s="7" t="str">
        <f>HYPERLINK("https://ovidsp.ovid.com/ovidweb.cgi?T=JS&amp;NEWS=n&amp;CSC=Y&amp;PAGE=booktext&amp;D=books&amp;SC=01434282&amp;EPUB=Y","https://ovidsp.ovid.com/ovidweb.cgi?T=JS&amp;NEWS=n&amp;CSC=Y&amp;PAGE=booktext&amp;D=books&amp;SC=01434282&amp;EPUB=Y")</f>
        <v>https://ovidsp.ovid.com/ovidweb.cgi?T=JS&amp;NEWS=n&amp;CSC=Y&amp;PAGE=booktext&amp;D=books&amp;SC=01434282&amp;EPUB=Y</v>
      </c>
      <c r="H1043" s="8" t="s">
        <v>1795</v>
      </c>
    </row>
    <row r="1044" spans="1:8" x14ac:dyDescent="0.3">
      <c r="A1044" s="4" t="s">
        <v>773</v>
      </c>
      <c r="B1044" s="5">
        <v>44893</v>
      </c>
      <c r="C1044" s="6" t="s">
        <v>2367</v>
      </c>
      <c r="D1044" s="6" t="s">
        <v>1643</v>
      </c>
      <c r="E1044" s="6" t="s">
        <v>2503</v>
      </c>
      <c r="F1044" s="6" t="s">
        <v>1208</v>
      </c>
      <c r="G1044" s="7" t="str">
        <f>HYPERLINK("https://ovidsp.ovid.com/ovidweb.cgi?T=JS&amp;NEWS=n&amp;CSC=Y&amp;PAGE=booktext&amp;D=books&amp;SC=01434401&amp;EPUB=Y","https://ovidsp.ovid.com/ovidweb.cgi?T=JS&amp;NEWS=n&amp;CSC=Y&amp;PAGE=booktext&amp;D=books&amp;SC=01434401&amp;EPUB=Y")</f>
        <v>https://ovidsp.ovid.com/ovidweb.cgi?T=JS&amp;NEWS=n&amp;CSC=Y&amp;PAGE=booktext&amp;D=books&amp;SC=01434401&amp;EPUB=Y</v>
      </c>
      <c r="H1044" s="8" t="s">
        <v>1795</v>
      </c>
    </row>
    <row r="1045" spans="1:8" x14ac:dyDescent="0.3">
      <c r="A1045" s="4" t="s">
        <v>2249</v>
      </c>
      <c r="B1045" s="5">
        <v>44893</v>
      </c>
      <c r="C1045" s="6" t="s">
        <v>2367</v>
      </c>
      <c r="D1045" s="6" t="s">
        <v>1643</v>
      </c>
      <c r="E1045" s="6" t="s">
        <v>2503</v>
      </c>
      <c r="F1045" s="6" t="s">
        <v>1208</v>
      </c>
      <c r="G1045" s="7" t="str">
        <f>HYPERLINK("https://ovidsp.ovid.com/ovidweb.cgi?T=JS&amp;NEWS=n&amp;CSC=Y&amp;PAGE=booktext&amp;D=books&amp;SC=01434288&amp;EPUB=Y","https://ovidsp.ovid.com/ovidweb.cgi?T=JS&amp;NEWS=n&amp;CSC=Y&amp;PAGE=booktext&amp;D=books&amp;SC=01434288&amp;EPUB=Y")</f>
        <v>https://ovidsp.ovid.com/ovidweb.cgi?T=JS&amp;NEWS=n&amp;CSC=Y&amp;PAGE=booktext&amp;D=books&amp;SC=01434288&amp;EPUB=Y</v>
      </c>
      <c r="H1045" s="8" t="s">
        <v>1795</v>
      </c>
    </row>
    <row r="1046" spans="1:8" x14ac:dyDescent="0.3">
      <c r="A1046" s="4" t="s">
        <v>2349</v>
      </c>
      <c r="B1046" s="5">
        <v>44893</v>
      </c>
      <c r="C1046" s="6" t="s">
        <v>2367</v>
      </c>
      <c r="D1046" s="6" t="s">
        <v>1643</v>
      </c>
      <c r="E1046" s="6" t="s">
        <v>2503</v>
      </c>
      <c r="F1046" s="6" t="s">
        <v>1208</v>
      </c>
      <c r="G1046" s="7" t="str">
        <f>HYPERLINK("https://ovidsp.ovid.com/ovidweb.cgi?T=JS&amp;NEWS=n&amp;CSC=Y&amp;PAGE=booktext&amp;D=books&amp;SC=01434397&amp;EPUB=Y","https://ovidsp.ovid.com/ovidweb.cgi?T=JS&amp;NEWS=n&amp;CSC=Y&amp;PAGE=booktext&amp;D=books&amp;SC=01434397&amp;EPUB=Y")</f>
        <v>https://ovidsp.ovid.com/ovidweb.cgi?T=JS&amp;NEWS=n&amp;CSC=Y&amp;PAGE=booktext&amp;D=books&amp;SC=01434397&amp;EPUB=Y</v>
      </c>
      <c r="H1046" s="8" t="s">
        <v>1795</v>
      </c>
    </row>
    <row r="1047" spans="1:8" x14ac:dyDescent="0.3">
      <c r="A1047" s="4" t="s">
        <v>445</v>
      </c>
      <c r="B1047" s="5">
        <v>44893</v>
      </c>
      <c r="C1047" s="6" t="s">
        <v>2367</v>
      </c>
      <c r="D1047" s="6" t="s">
        <v>1643</v>
      </c>
      <c r="E1047" s="6" t="s">
        <v>2503</v>
      </c>
      <c r="F1047" s="6" t="s">
        <v>1208</v>
      </c>
      <c r="G1047" s="7" t="str">
        <f>HYPERLINK("https://ovidsp.ovid.com/ovidweb.cgi?T=JS&amp;NEWS=n&amp;CSC=Y&amp;PAGE=booktext&amp;D=books&amp;SC=01434412&amp;EPUB=Y","https://ovidsp.ovid.com/ovidweb.cgi?T=JS&amp;NEWS=n&amp;CSC=Y&amp;PAGE=booktext&amp;D=books&amp;SC=01434412&amp;EPUB=Y")</f>
        <v>https://ovidsp.ovid.com/ovidweb.cgi?T=JS&amp;NEWS=n&amp;CSC=Y&amp;PAGE=booktext&amp;D=books&amp;SC=01434412&amp;EPUB=Y</v>
      </c>
      <c r="H1047" s="8" t="s">
        <v>1795</v>
      </c>
    </row>
    <row r="1048" spans="1:8" x14ac:dyDescent="0.3">
      <c r="A1048" s="4" t="s">
        <v>748</v>
      </c>
      <c r="B1048" s="5">
        <v>44893</v>
      </c>
      <c r="C1048" s="6" t="s">
        <v>2367</v>
      </c>
      <c r="D1048" s="6" t="s">
        <v>1643</v>
      </c>
      <c r="E1048" s="6" t="s">
        <v>2503</v>
      </c>
      <c r="F1048" s="6" t="s">
        <v>1208</v>
      </c>
      <c r="G1048" s="7" t="str">
        <f>HYPERLINK("https://ovidsp.ovid.com/ovidweb.cgi?T=JS&amp;NEWS=n&amp;CSC=Y&amp;PAGE=booktext&amp;D=books&amp;SC=01434407&amp;EPUB=Y","https://ovidsp.ovid.com/ovidweb.cgi?T=JS&amp;NEWS=n&amp;CSC=Y&amp;PAGE=booktext&amp;D=books&amp;SC=01434407&amp;EPUB=Y")</f>
        <v>https://ovidsp.ovid.com/ovidweb.cgi?T=JS&amp;NEWS=n&amp;CSC=Y&amp;PAGE=booktext&amp;D=books&amp;SC=01434407&amp;EPUB=Y</v>
      </c>
      <c r="H1048" s="8" t="s">
        <v>1795</v>
      </c>
    </row>
    <row r="1049" spans="1:8" x14ac:dyDescent="0.3">
      <c r="A1049" s="4" t="s">
        <v>1407</v>
      </c>
      <c r="B1049" s="5">
        <v>44893</v>
      </c>
      <c r="C1049" s="6" t="s">
        <v>2367</v>
      </c>
      <c r="D1049" s="6" t="s">
        <v>1643</v>
      </c>
      <c r="E1049" s="6" t="s">
        <v>2503</v>
      </c>
      <c r="F1049" s="6" t="s">
        <v>1208</v>
      </c>
      <c r="G1049" s="7" t="str">
        <f>HYPERLINK("https://ovidsp.ovid.com/ovidweb.cgi?T=JS&amp;NEWS=n&amp;CSC=Y&amp;PAGE=booktext&amp;D=books&amp;SC=01434323&amp;EPUB=Y","https://ovidsp.ovid.com/ovidweb.cgi?T=JS&amp;NEWS=n&amp;CSC=Y&amp;PAGE=booktext&amp;D=books&amp;SC=01434323&amp;EPUB=Y")</f>
        <v>https://ovidsp.ovid.com/ovidweb.cgi?T=JS&amp;NEWS=n&amp;CSC=Y&amp;PAGE=booktext&amp;D=books&amp;SC=01434323&amp;EPUB=Y</v>
      </c>
      <c r="H1049" s="8" t="s">
        <v>1795</v>
      </c>
    </row>
    <row r="1050" spans="1:8" x14ac:dyDescent="0.3">
      <c r="A1050" s="4" t="s">
        <v>2499</v>
      </c>
      <c r="B1050" s="5">
        <v>44893</v>
      </c>
      <c r="C1050" s="6" t="s">
        <v>2367</v>
      </c>
      <c r="D1050" s="6" t="s">
        <v>1643</v>
      </c>
      <c r="E1050" s="6" t="s">
        <v>2503</v>
      </c>
      <c r="F1050" s="6" t="s">
        <v>1208</v>
      </c>
      <c r="G1050" s="7" t="str">
        <f>HYPERLINK("https://ovidsp.ovid.com/ovidweb.cgi?T=JS&amp;NEWS=n&amp;CSC=Y&amp;PAGE=booktext&amp;D=books&amp;SC=01434388&amp;EPUB=Y","https://ovidsp.ovid.com/ovidweb.cgi?T=JS&amp;NEWS=n&amp;CSC=Y&amp;PAGE=booktext&amp;D=books&amp;SC=01434388&amp;EPUB=Y")</f>
        <v>https://ovidsp.ovid.com/ovidweb.cgi?T=JS&amp;NEWS=n&amp;CSC=Y&amp;PAGE=booktext&amp;D=books&amp;SC=01434388&amp;EPUB=Y</v>
      </c>
      <c r="H1050" s="8" t="s">
        <v>1795</v>
      </c>
    </row>
    <row r="1051" spans="1:8" x14ac:dyDescent="0.3">
      <c r="A1051" s="4" t="s">
        <v>880</v>
      </c>
      <c r="B1051" s="5">
        <v>44893</v>
      </c>
      <c r="C1051" s="6" t="s">
        <v>2367</v>
      </c>
      <c r="D1051" s="6" t="s">
        <v>1643</v>
      </c>
      <c r="E1051" s="6" t="s">
        <v>2503</v>
      </c>
      <c r="F1051" s="6" t="s">
        <v>1208</v>
      </c>
      <c r="G1051" s="7" t="str">
        <f>HYPERLINK("https://ovidsp.ovid.com/ovidweb.cgi?T=JS&amp;NEWS=n&amp;CSC=Y&amp;PAGE=booktext&amp;D=books&amp;SC=01434408&amp;EPUB=Y","https://ovidsp.ovid.com/ovidweb.cgi?T=JS&amp;NEWS=n&amp;CSC=Y&amp;PAGE=booktext&amp;D=books&amp;SC=01434408&amp;EPUB=Y")</f>
        <v>https://ovidsp.ovid.com/ovidweb.cgi?T=JS&amp;NEWS=n&amp;CSC=Y&amp;PAGE=booktext&amp;D=books&amp;SC=01434408&amp;EPUB=Y</v>
      </c>
      <c r="H1051" s="8" t="s">
        <v>1795</v>
      </c>
    </row>
    <row r="1052" spans="1:8" x14ac:dyDescent="0.3">
      <c r="A1052" s="4" t="s">
        <v>1363</v>
      </c>
      <c r="B1052" s="5">
        <v>44893</v>
      </c>
      <c r="C1052" s="6" t="s">
        <v>2367</v>
      </c>
      <c r="D1052" s="6" t="s">
        <v>1643</v>
      </c>
      <c r="E1052" s="6" t="s">
        <v>2503</v>
      </c>
      <c r="F1052" s="6" t="s">
        <v>1208</v>
      </c>
      <c r="G1052" s="7" t="str">
        <f>HYPERLINK("https://ovidsp.ovid.com/ovidweb.cgi?T=JS&amp;NEWS=n&amp;CSC=Y&amp;PAGE=booktext&amp;D=books&amp;SC=01434453&amp;EPUB=Y","https://ovidsp.ovid.com/ovidweb.cgi?T=JS&amp;NEWS=n&amp;CSC=Y&amp;PAGE=booktext&amp;D=books&amp;SC=01434453&amp;EPUB=Y")</f>
        <v>https://ovidsp.ovid.com/ovidweb.cgi?T=JS&amp;NEWS=n&amp;CSC=Y&amp;PAGE=booktext&amp;D=books&amp;SC=01434453&amp;EPUB=Y</v>
      </c>
      <c r="H1052" s="8" t="s">
        <v>1795</v>
      </c>
    </row>
    <row r="1053" spans="1:8" x14ac:dyDescent="0.3">
      <c r="A1053" s="4" t="s">
        <v>2524</v>
      </c>
      <c r="B1053" s="5">
        <v>44893</v>
      </c>
      <c r="C1053" s="6" t="s">
        <v>2367</v>
      </c>
      <c r="D1053" s="6" t="s">
        <v>1643</v>
      </c>
      <c r="E1053" s="6" t="s">
        <v>2503</v>
      </c>
      <c r="F1053" s="6" t="s">
        <v>1208</v>
      </c>
      <c r="G1053" s="7" t="str">
        <f>HYPERLINK("https://ovidsp.ovid.com/ovidweb.cgi?T=JS&amp;NEWS=n&amp;CSC=Y&amp;PAGE=booktext&amp;D=books&amp;SC=01434441&amp;EPUB=Y","https://ovidsp.ovid.com/ovidweb.cgi?T=JS&amp;NEWS=n&amp;CSC=Y&amp;PAGE=booktext&amp;D=books&amp;SC=01434441&amp;EPUB=Y")</f>
        <v>https://ovidsp.ovid.com/ovidweb.cgi?T=JS&amp;NEWS=n&amp;CSC=Y&amp;PAGE=booktext&amp;D=books&amp;SC=01434441&amp;EPUB=Y</v>
      </c>
      <c r="H1053" s="8" t="s">
        <v>1795</v>
      </c>
    </row>
    <row r="1054" spans="1:8" x14ac:dyDescent="0.3">
      <c r="A1054" s="4" t="s">
        <v>2425</v>
      </c>
      <c r="B1054" s="5">
        <v>44893</v>
      </c>
      <c r="C1054" s="6" t="s">
        <v>2000</v>
      </c>
      <c r="D1054" s="6" t="s">
        <v>115</v>
      </c>
      <c r="E1054" s="6" t="s">
        <v>2503</v>
      </c>
      <c r="F1054" s="6" t="s">
        <v>1208</v>
      </c>
      <c r="G1054" s="7" t="str">
        <f>HYPERLINK("https://ovidsp.ovid.com/ovidweb.cgi?T=JS&amp;NEWS=n&amp;CSC=Y&amp;PAGE=booktext&amp;D=books&amp;SC=02163071&amp;EPUB=Y","https://ovidsp.ovid.com/ovidweb.cgi?T=JS&amp;NEWS=n&amp;CSC=Y&amp;PAGE=booktext&amp;D=books&amp;SC=02163071&amp;EPUB=Y")</f>
        <v>https://ovidsp.ovid.com/ovidweb.cgi?T=JS&amp;NEWS=n&amp;CSC=Y&amp;PAGE=booktext&amp;D=books&amp;SC=02163071&amp;EPUB=Y</v>
      </c>
      <c r="H1054" s="8" t="s">
        <v>1795</v>
      </c>
    </row>
    <row r="1055" spans="1:8" x14ac:dyDescent="0.3">
      <c r="A1055" s="4" t="s">
        <v>1462</v>
      </c>
      <c r="B1055" s="5">
        <v>44893</v>
      </c>
      <c r="C1055" s="6" t="s">
        <v>307</v>
      </c>
      <c r="D1055" s="6" t="s">
        <v>460</v>
      </c>
      <c r="E1055" s="6" t="s">
        <v>2503</v>
      </c>
      <c r="F1055" s="6" t="s">
        <v>1208</v>
      </c>
      <c r="G1055" s="7" t="str">
        <f>HYPERLINK("https://ovidsp.ovid.com/ovidweb.cgi?T=JS&amp;NEWS=n&amp;CSC=Y&amp;PAGE=booktext&amp;D=books&amp;SC=02272960&amp;EPUB=Y","https://ovidsp.ovid.com/ovidweb.cgi?T=JS&amp;NEWS=n&amp;CSC=Y&amp;PAGE=booktext&amp;D=books&amp;SC=02272960&amp;EPUB=Y")</f>
        <v>https://ovidsp.ovid.com/ovidweb.cgi?T=JS&amp;NEWS=n&amp;CSC=Y&amp;PAGE=booktext&amp;D=books&amp;SC=02272960&amp;EPUB=Y</v>
      </c>
      <c r="H1055" s="8" t="s">
        <v>1795</v>
      </c>
    </row>
    <row r="1056" spans="1:8" x14ac:dyDescent="0.3">
      <c r="A1056" s="4" t="s">
        <v>2273</v>
      </c>
      <c r="B1056" s="5">
        <v>44893</v>
      </c>
      <c r="C1056" s="6" t="s">
        <v>1151</v>
      </c>
      <c r="D1056" s="6" t="s">
        <v>2241</v>
      </c>
      <c r="E1056" s="6" t="s">
        <v>2503</v>
      </c>
      <c r="F1056" s="6" t="s">
        <v>1208</v>
      </c>
      <c r="G1056" s="7" t="str">
        <f>HYPERLINK("https://ovidsp.ovid.com/ovidweb.cgi?T=JS&amp;NEWS=n&amp;CSC=Y&amp;PAGE=booktext&amp;D=books&amp;SC=02272735&amp;EPUB=Y","https://ovidsp.ovid.com/ovidweb.cgi?T=JS&amp;NEWS=n&amp;CSC=Y&amp;PAGE=booktext&amp;D=books&amp;SC=02272735&amp;EPUB=Y")</f>
        <v>https://ovidsp.ovid.com/ovidweb.cgi?T=JS&amp;NEWS=n&amp;CSC=Y&amp;PAGE=booktext&amp;D=books&amp;SC=02272735&amp;EPUB=Y</v>
      </c>
      <c r="H1056" s="8" t="s">
        <v>1795</v>
      </c>
    </row>
    <row r="1057" spans="1:8" x14ac:dyDescent="0.3">
      <c r="A1057" s="4" t="s">
        <v>1092</v>
      </c>
      <c r="B1057" s="5">
        <v>44893</v>
      </c>
      <c r="C1057" s="6" t="s">
        <v>4</v>
      </c>
      <c r="D1057" s="6" t="s">
        <v>331</v>
      </c>
      <c r="E1057" s="6" t="s">
        <v>2503</v>
      </c>
      <c r="F1057" s="6" t="s">
        <v>1208</v>
      </c>
      <c r="G1057" s="7" t="str">
        <f>HYPERLINK("https://ovidsp.ovid.com/ovidweb.cgi?T=JS&amp;NEWS=n&amp;CSC=Y&amp;PAGE=booktext&amp;D=books&amp;SC=02045094&amp;EPUB=Y","https://ovidsp.ovid.com/ovidweb.cgi?T=JS&amp;NEWS=n&amp;CSC=Y&amp;PAGE=booktext&amp;D=books&amp;SC=02045094&amp;EPUB=Y")</f>
        <v>https://ovidsp.ovid.com/ovidweb.cgi?T=JS&amp;NEWS=n&amp;CSC=Y&amp;PAGE=booktext&amp;D=books&amp;SC=02045094&amp;EPUB=Y</v>
      </c>
      <c r="H1057" s="8" t="s">
        <v>1795</v>
      </c>
    </row>
    <row r="1058" spans="1:8" x14ac:dyDescent="0.3">
      <c r="A1058" s="4" t="s">
        <v>698</v>
      </c>
      <c r="B1058" s="5">
        <v>44893</v>
      </c>
      <c r="C1058" s="6" t="s">
        <v>1926</v>
      </c>
      <c r="D1058" s="6" t="s">
        <v>332</v>
      </c>
      <c r="E1058" s="6" t="s">
        <v>2503</v>
      </c>
      <c r="F1058" s="6" t="s">
        <v>1208</v>
      </c>
      <c r="G1058" s="7" t="str">
        <f>HYPERLINK("https://ovidsp.ovid.com/ovidweb.cgi?T=JS&amp;NEWS=n&amp;CSC=Y&amp;PAGE=booktext&amp;D=books&amp;SC=02118289&amp;EPUB=Y","https://ovidsp.ovid.com/ovidweb.cgi?T=JS&amp;NEWS=n&amp;CSC=Y&amp;PAGE=booktext&amp;D=books&amp;SC=02118289&amp;EPUB=Y")</f>
        <v>https://ovidsp.ovid.com/ovidweb.cgi?T=JS&amp;NEWS=n&amp;CSC=Y&amp;PAGE=booktext&amp;D=books&amp;SC=02118289&amp;EPUB=Y</v>
      </c>
      <c r="H1058" s="8" t="s">
        <v>1795</v>
      </c>
    </row>
    <row r="1059" spans="1:8" x14ac:dyDescent="0.3">
      <c r="A1059" s="4" t="s">
        <v>829</v>
      </c>
      <c r="B1059" s="5">
        <v>44893</v>
      </c>
      <c r="C1059" s="6" t="s">
        <v>2367</v>
      </c>
      <c r="D1059" s="6" t="s">
        <v>1643</v>
      </c>
      <c r="E1059" s="6" t="s">
        <v>2503</v>
      </c>
      <c r="F1059" s="6" t="s">
        <v>241</v>
      </c>
      <c r="G1059" s="7" t="str">
        <f>HYPERLINK("https://ovidsp.ovid.com/ovidweb.cgi?T=JS&amp;NEWS=n&amp;CSC=Y&amp;PAGE=booktext&amp;D=books&amp;SC=01434277&amp;EPUB=Y","https://ovidsp.ovid.com/ovidweb.cgi?T=JS&amp;NEWS=n&amp;CSC=Y&amp;PAGE=booktext&amp;D=books&amp;SC=01434277&amp;EPUB=Y")</f>
        <v>https://ovidsp.ovid.com/ovidweb.cgi?T=JS&amp;NEWS=n&amp;CSC=Y&amp;PAGE=booktext&amp;D=books&amp;SC=01434277&amp;EPUB=Y</v>
      </c>
      <c r="H1059" s="8" t="s">
        <v>1795</v>
      </c>
    </row>
    <row r="1060" spans="1:8" x14ac:dyDescent="0.3">
      <c r="A1060" s="4" t="s">
        <v>2028</v>
      </c>
      <c r="B1060" s="5">
        <v>44893</v>
      </c>
      <c r="C1060" s="6" t="s">
        <v>795</v>
      </c>
      <c r="D1060" s="6" t="s">
        <v>198</v>
      </c>
      <c r="E1060" s="6" t="s">
        <v>2503</v>
      </c>
      <c r="F1060" s="6" t="s">
        <v>1208</v>
      </c>
      <c r="G1060" s="7" t="str">
        <f>HYPERLINK("https://ovidsp.ovid.com/ovidweb.cgi?T=JS&amp;NEWS=n&amp;CSC=Y&amp;PAGE=booktext&amp;D=books&amp;SC=01434528&amp;EPUB=Y","https://ovidsp.ovid.com/ovidweb.cgi?T=JS&amp;NEWS=n&amp;CSC=Y&amp;PAGE=booktext&amp;D=books&amp;SC=01434528&amp;EPUB=Y")</f>
        <v>https://ovidsp.ovid.com/ovidweb.cgi?T=JS&amp;NEWS=n&amp;CSC=Y&amp;PAGE=booktext&amp;D=books&amp;SC=01434528&amp;EPUB=Y</v>
      </c>
      <c r="H1060" s="8" t="s">
        <v>1795</v>
      </c>
    </row>
    <row r="1061" spans="1:8" x14ac:dyDescent="0.3">
      <c r="A1061" s="4" t="s">
        <v>1164</v>
      </c>
      <c r="B1061" s="5">
        <v>44893</v>
      </c>
      <c r="C1061" s="6" t="s">
        <v>1454</v>
      </c>
      <c r="D1061" s="6" t="s">
        <v>2079</v>
      </c>
      <c r="E1061" s="6" t="s">
        <v>2503</v>
      </c>
      <c r="F1061" s="6" t="s">
        <v>1208</v>
      </c>
      <c r="G1061" s="7" t="str">
        <f>HYPERLINK("https://ovidsp.ovid.com/ovidweb.cgi?T=JS&amp;NEWS=n&amp;CSC=Y&amp;PAGE=booktext&amp;D=books&amp;SC=02272516&amp;EPUB=Y","https://ovidsp.ovid.com/ovidweb.cgi?T=JS&amp;NEWS=n&amp;CSC=Y&amp;PAGE=booktext&amp;D=books&amp;SC=02272516&amp;EPUB=Y")</f>
        <v>https://ovidsp.ovid.com/ovidweb.cgi?T=JS&amp;NEWS=n&amp;CSC=Y&amp;PAGE=booktext&amp;D=books&amp;SC=02272516&amp;EPUB=Y</v>
      </c>
      <c r="H1061" s="8" t="s">
        <v>1795</v>
      </c>
    </row>
    <row r="1062" spans="1:8" x14ac:dyDescent="0.3">
      <c r="A1062" s="9" t="s">
        <v>2479</v>
      </c>
      <c r="B1062" s="10">
        <v>44893</v>
      </c>
      <c r="C1062" s="11" t="s">
        <v>537</v>
      </c>
      <c r="D1062" s="11" t="s">
        <v>1822</v>
      </c>
      <c r="E1062" s="11" t="s">
        <v>2503</v>
      </c>
      <c r="F1062" s="11" t="s">
        <v>1208</v>
      </c>
      <c r="G1062" s="12" t="str">
        <f>HYPERLINK("https://ovidsp.ovid.com/ovidweb.cgi?T=JS&amp;NEWS=n&amp;CSC=Y&amp;PAGE=booktext&amp;D=books&amp;SC=01438240&amp;EPUB=Y","https://ovidsp.ovid.com/ovidweb.cgi?T=JS&amp;NEWS=n&amp;CSC=Y&amp;PAGE=booktext&amp;D=books&amp;SC=01438240&amp;EPUB=Y")</f>
        <v>https://ovidsp.ovid.com/ovidweb.cgi?T=JS&amp;NEWS=n&amp;CSC=Y&amp;PAGE=booktext&amp;D=books&amp;SC=01438240&amp;EPUB=Y</v>
      </c>
      <c r="H1062" s="13" t="s">
        <v>1795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4"/>
  <sheetViews>
    <sheetView zoomScaleNormal="100" workbookViewId="0">
      <pane ySplit="1" topLeftCell="A2" activePane="bottomLeft" state="frozen"/>
      <selection pane="bottomLeft" sqref="A1:B4"/>
    </sheetView>
  </sheetViews>
  <sheetFormatPr defaultColWidth="9.109375" defaultRowHeight="14.4" x14ac:dyDescent="0.3"/>
  <cols>
    <col min="1" max="1" width="40.6640625" customWidth="1"/>
    <col min="2" max="2" width="76.109375" bestFit="1" customWidth="1"/>
  </cols>
  <sheetData>
    <row r="1" spans="1:2" x14ac:dyDescent="0.3">
      <c r="A1" s="1" t="s">
        <v>88</v>
      </c>
      <c r="B1" s="3" t="s">
        <v>2202</v>
      </c>
    </row>
    <row r="2" spans="1:2" x14ac:dyDescent="0.3">
      <c r="A2" s="4" t="s">
        <v>206</v>
      </c>
      <c r="B2" s="14" t="str">
        <f>HYPERLINK("https://ovidsp.ovid.com/ovidweb.cgi?T=JS&amp;PAGE=dblist","https://ovidsp.ovid.com/ovidweb.cgi?T=JS&amp;PAGE=dblist")</f>
        <v>https://ovidsp.ovid.com/ovidweb.cgi?T=JS&amp;PAGE=dblist</v>
      </c>
    </row>
    <row r="3" spans="1:2" x14ac:dyDescent="0.3">
      <c r="A3" s="4" t="s">
        <v>919</v>
      </c>
      <c r="B3" s="14" t="str">
        <f>HYPERLINK("https://ovidsp.ovid.com/ovidweb.cgi?T=JS&amp;NEWS=n&amp;CSC=Y&amp;PAGE=main&amp;D=baov","https://ovidsp.ovid.com/ovidweb.cgi?T=JS&amp;NEWS=n&amp;CSC=Y&amp;PAGE=main&amp;D=baov")</f>
        <v>https://ovidsp.ovid.com/ovidweb.cgi?T=JS&amp;NEWS=n&amp;CSC=Y&amp;PAGE=main&amp;D=baov</v>
      </c>
    </row>
    <row r="4" spans="1:2" x14ac:dyDescent="0.3">
      <c r="A4" s="9" t="s">
        <v>235</v>
      </c>
      <c r="B4" s="15" t="str">
        <f>HYPERLINK("https://ovidsp.ovid.com/ovidweb.cgi?T=JS&amp;NEWS=n&amp;PAGE=main&amp;D=books","https://ovidsp.ovid.com/ovidweb.cgi?T=JS&amp;NEWS=n&amp;PAGE=main&amp;D=books")</f>
        <v>https://ovidsp.ovid.com/ovidweb.cgi?T=JS&amp;NEWS=n&amp;PAGE=main&amp;D=books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Future Books</vt:lpstr>
      <vt:lpstr>Browse URLs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Manuel.Aguado</dc:creator>
  <cp:lastModifiedBy>Juvan, Simona</cp:lastModifiedBy>
  <dcterms:created xsi:type="dcterms:W3CDTF">2022-11-23T10:50:41Z</dcterms:created>
  <dcterms:modified xsi:type="dcterms:W3CDTF">2022-12-02T13:05:14Z</dcterms:modified>
</cp:coreProperties>
</file>